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MadMXH9wIFv5ZiZLyfKUjZSYoyWynhhCWeRZ8UMQmNGPezblMUbBKxPnXScGEt7COSoiJkB3/UaBJwxzow4cg==" workbookSaltValue="xpefgWwqBIicrdiJ9W9BV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X10" i="21" s="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S18" i="17" s="1"/>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BU9" i="17"/>
  <c r="BU19" i="17"/>
  <c r="BW10" i="20"/>
  <c r="BV22" i="16"/>
  <c r="BU12" i="17"/>
  <c r="T14" i="16"/>
  <c r="S25" i="17"/>
  <c r="AZ20" i="11"/>
  <c r="S11" i="14"/>
  <c r="V11" i="14" s="1"/>
  <c r="BG12" i="11"/>
  <c r="BI20" i="11"/>
  <c r="BI9" i="11"/>
  <c r="BL28"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E17" i="13"/>
  <c r="X32" i="20"/>
  <c r="G23" i="14"/>
  <c r="G30" i="14"/>
  <c r="BF17" i="8" l="1"/>
  <c r="BD12" i="8"/>
  <c r="H12" i="7" s="1"/>
  <c r="AK31" i="8"/>
  <c r="AY14" i="8"/>
  <c r="BE16" i="13"/>
  <c r="X13" i="16"/>
  <c r="V25" i="16"/>
  <c r="L9" i="2"/>
  <c r="U9" i="17"/>
  <c r="U31" i="17" s="1"/>
  <c r="L19" i="2"/>
  <c r="L13" i="2"/>
  <c r="L25" i="2"/>
  <c r="L12" i="2"/>
  <c r="S17" i="17"/>
  <c r="S16" i="17"/>
  <c r="X21" i="20"/>
  <c r="L28" i="2"/>
  <c r="L10" i="2"/>
  <c r="BH22" i="11"/>
  <c r="BL17" i="11"/>
  <c r="BK22" i="11"/>
  <c r="BJ17" i="11"/>
  <c r="BH12" i="16"/>
  <c r="AO25" i="17"/>
  <c r="BM9" i="11"/>
  <c r="BM21" i="11"/>
  <c r="BG17" i="11"/>
  <c r="BH11" i="11"/>
  <c r="BI29" i="11"/>
  <c r="BH10" i="16"/>
  <c r="S10" i="17"/>
  <c r="BL10" i="11"/>
  <c r="AO29" i="17"/>
  <c r="AQ10" i="21"/>
  <c r="BH10" i="11"/>
  <c r="Q18" i="17"/>
  <c r="AZ11" i="11"/>
  <c r="AZ12" i="11"/>
  <c r="AA29" i="16"/>
  <c r="BV9" i="16"/>
  <c r="BW21" i="20"/>
  <c r="BU13" i="17"/>
  <c r="BW28" i="20"/>
  <c r="S21" i="17"/>
  <c r="BW16" i="20"/>
  <c r="BW17" i="20"/>
  <c r="BU21" i="17"/>
  <c r="BU11" i="17"/>
  <c r="BJ28" i="11"/>
  <c r="AZ9" i="11"/>
  <c r="AZ14" i="11" s="1"/>
  <c r="AZ13" i="11"/>
  <c r="BI19" i="11"/>
  <c r="BI25" i="11"/>
  <c r="BG22" i="11"/>
  <c r="Q18" i="20"/>
  <c r="Q23" i="20" s="1"/>
  <c r="V16" i="11"/>
  <c r="BD17" i="13"/>
  <c r="Z14" i="17"/>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AW32" i="11"/>
  <c r="AV32" i="2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B32" i="1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BM31" i="11" l="1"/>
  <c r="F33" i="11"/>
  <c r="V31" i="16"/>
  <c r="BG31" i="11"/>
  <c r="G31" i="3"/>
  <c r="BV33" i="16"/>
  <c r="BV31" i="16"/>
  <c r="BG31" i="8"/>
  <c r="BD31" i="8"/>
  <c r="S31" i="17"/>
  <c r="I31" i="3"/>
  <c r="H31" i="2"/>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<sst xmlns="http://schemas.openxmlformats.org/spreadsheetml/2006/main" count="2682" uniqueCount="1193">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</sst>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LfEEx5YKWgTDpBBDLsc4rA5UajQZVTH9gNTIsCHeebKhTxcOVFJAKP7GqJ03tZ8Nv7siEvXH7QbHrpKObPlqw==" saltValue="ooA+/M2TCQWSWHEPTarr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9</v>
      </c>
      <c r="F10" s="240">
        <f>IF(ISNUMBER(Datos!K10),Datos!K10," - ")</f>
        <v>11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5.8149779735682818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9</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371</v>
      </c>
      <c r="D17" s="239">
        <f>IF(ISNUMBER(IF(D_I="SI",Datos!I17,Datos!I17+Datos!AC17)),IF(D_I="SI",Datos!I17,Datos!I17+Datos!AC17)," - ")</f>
        <v>303</v>
      </c>
      <c r="E17" s="240">
        <f>IF(ISNUMBER(IF(D_I="SI",Datos!J17,Datos!J17+Datos!AD17)),IF(D_I="SI",Datos!J17,Datos!J17+Datos!AD17)," - ")</f>
        <v>739</v>
      </c>
      <c r="F17" s="240">
        <f>IF(ISNUMBER(IF(D_I="SI",Datos!K17,Datos!K17+Datos!AE17)),IF(D_I="SI",Datos!K17,Datos!K17+Datos!AE17)," - ")</f>
        <v>840</v>
      </c>
      <c r="G17" s="1390" t="str">
        <f>IF(Datos!E17&lt;&gt;"",Datos!E17,Datos!D17)</f>
        <v>04</v>
      </c>
      <c r="H17" s="241">
        <f>IF(ISNUMBER(IF(D_I="SI",Datos!L17,Datos!L17+Datos!AF17)),IF(D_I="SI",Datos!L17,Datos!L17+Datos!AF17)," - ")</f>
        <v>270</v>
      </c>
      <c r="I17" s="1400" t="str">
        <f>IF(ISNUMBER(Datos!AS17/Datos!BM17),Datos!AS17/Datos!BM17," - ")</f>
        <v xml:space="preserve"> - </v>
      </c>
      <c r="J17" s="1401">
        <f>IF(ISNUMBER(Datos!BY17/Datos!CN17),Datos!BY17/Datos!CN17," - ")</f>
        <v>0</v>
      </c>
      <c r="K17" s="244">
        <f t="shared" si="3"/>
        <v>-0.27223719676549868</v>
      </c>
      <c r="L17" s="1402">
        <f>IF(ISNUMBER(NºAsuntos!I17/NºAsuntos!G17),(NºAsuntos!I17/NºAsuntos!G17)*11," - ")</f>
        <v>3.535714285714286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104</v>
      </c>
      <c r="F18" s="240">
        <f>IF(ISNUMBER(IF(D_I="SI",Datos!K18,Datos!K18+Datos!AE18)),IF(D_I="SI",Datos!K18,Datos!K18+Datos!AE18)," - ")</f>
        <v>109</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3.5321100917431196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411</v>
      </c>
      <c r="D23" s="1407">
        <f>SUBTOTAL(9,D16:D22)</f>
        <v>343</v>
      </c>
      <c r="E23" s="1408">
        <f>SUBTOTAL(9,E16:E22)</f>
        <v>843</v>
      </c>
      <c r="F23" s="1408">
        <f>SUBTOTAL(9,F16:F22)</f>
        <v>949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416</v>
      </c>
      <c r="D31" s="1435">
        <f>SUBTOTAL(9,D9:D30)</f>
        <v>348</v>
      </c>
      <c r="E31" s="1436">
        <f>SUBTOTAL(9,E9:E30)</f>
        <v>852</v>
      </c>
      <c r="F31" s="1436">
        <f>SUBTOTAL(9,F9:F30)</f>
        <v>960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5VOezQyJLF9GBQ6NWKxjsrKuMiwQ1gz0wgIOuA1R459ahDp3R8D0wLy0nBGDMxMGbj/gMJaX/bYR8pOGMbWfaA==" saltValue="75Bzn9qY2xsp1xVVvoHXC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tLGFplSsXXoSHopkASCmpvhPZ1bf6V9RJZJNQYnKvZdvaIN9L4hWS01lGoFqd6pZE/F798PiJVB9JKGwgDw==" saltValue="zkbJ2a39WmeTHJc6izzv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9</v>
      </c>
      <c r="K10" s="194">
        <v>11</v>
      </c>
      <c r="L10" s="194">
        <v>3</v>
      </c>
      <c r="M10" s="194">
        <v>9</v>
      </c>
      <c r="N10" s="194">
        <v>0</v>
      </c>
      <c r="O10" s="194">
        <v>0</v>
      </c>
      <c r="P10" s="194">
        <v>0</v>
      </c>
      <c r="Q10" s="194">
        <v>0</v>
      </c>
      <c r="R10" s="194">
        <v>1</v>
      </c>
      <c r="S10" s="194">
        <v>4</v>
      </c>
      <c r="T10" s="194">
        <v>8</v>
      </c>
      <c r="U10" s="194">
        <v>5</v>
      </c>
      <c r="V10" s="194">
        <v>5</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8</v>
      </c>
      <c r="BA10" s="139">
        <f t="shared" si="0"/>
        <v>5</v>
      </c>
      <c r="BB10" s="139">
        <f t="shared" si="0"/>
        <v>5</v>
      </c>
      <c r="BC10" s="135">
        <f t="shared" si="0"/>
        <v>2</v>
      </c>
      <c r="BD10" s="136">
        <f>IF(ISNUMBER(BA10/AZ10),BA10/AZ10," - ")</f>
        <v>0.625</v>
      </c>
      <c r="BE10" s="137">
        <f>IF(ISNUMBER(BB10/BA10),BB10/BA10, " - ")</f>
        <v>1</v>
      </c>
      <c r="BF10" s="137">
        <f>IF(ISNUMBER(BC10/BA10),BC10/BA10, " - ")</f>
        <v>0.4</v>
      </c>
      <c r="BG10" s="209">
        <f>IF(ISNUMBER((AY10+AZ10)/BA10),(AY10+AZ10)/BA10," - ")</f>
        <v>2.4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454</v>
      </c>
      <c r="J12" s="196">
        <v>820</v>
      </c>
      <c r="K12" s="196">
        <v>809</v>
      </c>
      <c r="L12" s="196">
        <v>448</v>
      </c>
      <c r="M12" s="196">
        <v>252</v>
      </c>
      <c r="N12" s="196">
        <v>286</v>
      </c>
      <c r="O12" s="194">
        <v>350</v>
      </c>
      <c r="P12" s="196">
        <v>227</v>
      </c>
      <c r="Q12" s="196">
        <v>100</v>
      </c>
      <c r="R12" s="196">
        <v>882</v>
      </c>
      <c r="S12" s="196">
        <v>610</v>
      </c>
      <c r="T12" s="196">
        <v>706</v>
      </c>
      <c r="U12" s="196">
        <v>753</v>
      </c>
      <c r="V12" s="196">
        <v>454</v>
      </c>
      <c r="W12" s="196">
        <v>254</v>
      </c>
      <c r="X12" s="202">
        <v>271</v>
      </c>
      <c r="Y12" s="204">
        <v>34</v>
      </c>
      <c r="Z12" s="194">
        <v>93</v>
      </c>
      <c r="AA12" s="194">
        <v>99</v>
      </c>
      <c r="AB12" s="194">
        <v>32</v>
      </c>
      <c r="AC12" s="196">
        <v>0</v>
      </c>
      <c r="AD12" s="196">
        <v>0</v>
      </c>
      <c r="AE12" s="196">
        <v>0</v>
      </c>
      <c r="AF12" s="202">
        <v>0</v>
      </c>
      <c r="AG12" s="215">
        <v>25</v>
      </c>
      <c r="AH12" s="196">
        <v>150</v>
      </c>
      <c r="AI12" s="196">
        <v>138</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635</v>
      </c>
      <c r="AZ12" s="137">
        <f t="shared" si="1"/>
        <v>856</v>
      </c>
      <c r="BA12" s="137">
        <f t="shared" si="1"/>
        <v>891</v>
      </c>
      <c r="BB12" s="137">
        <f t="shared" si="1"/>
        <v>488</v>
      </c>
      <c r="BC12" s="135">
        <f>IF(ISNUMBER(X12),X12," - ")</f>
        <v>271</v>
      </c>
      <c r="BD12" s="136">
        <f t="shared" si="2"/>
        <v>1.0408878504672898</v>
      </c>
      <c r="BE12" s="137">
        <f t="shared" si="3"/>
        <v>0.54769921436588098</v>
      </c>
      <c r="BF12" s="137">
        <f t="shared" si="4"/>
        <v>0.30415263748597082</v>
      </c>
      <c r="BG12" s="209">
        <f t="shared" si="5"/>
        <v>1.6734006734006734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459</v>
      </c>
      <c r="J14" s="197">
        <f t="shared" si="7"/>
        <v>829</v>
      </c>
      <c r="K14" s="197">
        <f t="shared" si="7"/>
        <v>820</v>
      </c>
      <c r="L14" s="197">
        <f t="shared" si="7"/>
        <v>451</v>
      </c>
      <c r="M14" s="197">
        <f t="shared" si="7"/>
        <v>261</v>
      </c>
      <c r="N14" s="197">
        <f t="shared" si="7"/>
        <v>286</v>
      </c>
      <c r="O14" s="197">
        <f t="shared" si="7"/>
        <v>350</v>
      </c>
      <c r="P14" s="197">
        <f t="shared" si="7"/>
        <v>227</v>
      </c>
      <c r="Q14" s="197">
        <f t="shared" si="7"/>
        <v>100</v>
      </c>
      <c r="R14" s="197">
        <f t="shared" si="7"/>
        <v>883</v>
      </c>
      <c r="S14" s="197">
        <f t="shared" si="7"/>
        <v>614</v>
      </c>
      <c r="T14" s="197">
        <f t="shared" si="7"/>
        <v>714</v>
      </c>
      <c r="U14" s="197">
        <f t="shared" si="7"/>
        <v>758</v>
      </c>
      <c r="V14" s="197">
        <f t="shared" si="7"/>
        <v>459</v>
      </c>
      <c r="W14" s="197">
        <f t="shared" si="7"/>
        <v>256</v>
      </c>
      <c r="X14" s="197">
        <f t="shared" si="7"/>
        <v>272</v>
      </c>
      <c r="Y14" s="197">
        <f t="shared" si="7"/>
        <v>34</v>
      </c>
      <c r="Z14" s="197">
        <f t="shared" si="7"/>
        <v>93</v>
      </c>
      <c r="AA14" s="197">
        <f t="shared" si="7"/>
        <v>99</v>
      </c>
      <c r="AB14" s="197">
        <f t="shared" si="7"/>
        <v>32</v>
      </c>
      <c r="AC14" s="197">
        <f t="shared" si="7"/>
        <v>0</v>
      </c>
      <c r="AD14" s="197">
        <f t="shared" si="7"/>
        <v>0</v>
      </c>
      <c r="AE14" s="197">
        <f t="shared" si="7"/>
        <v>0</v>
      </c>
      <c r="AF14" s="197">
        <f>SUBTOTAL(9,AF9:AF13)</f>
        <v>0</v>
      </c>
      <c r="AG14" s="197">
        <f t="shared" ref="AG14:AT14" si="8">SUBTOTAL(9,AG8:AG13)</f>
        <v>25</v>
      </c>
      <c r="AH14" s="197">
        <f t="shared" si="8"/>
        <v>150</v>
      </c>
      <c r="AI14" s="197">
        <f t="shared" si="8"/>
        <v>138</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639</v>
      </c>
      <c r="AZ14" s="197">
        <f>SUBTOTAL(9,AZ8:AZ13)</f>
        <v>864</v>
      </c>
      <c r="BA14" s="197">
        <f>SUBTOTAL(9,BA8:BA13)</f>
        <v>896</v>
      </c>
      <c r="BB14" s="197">
        <f>SUBTOTAL(9,BB8:BB13)</f>
        <v>493</v>
      </c>
      <c r="BC14" s="197">
        <f>SUBTOTAL(9,BC8:BC13)</f>
        <v>273</v>
      </c>
      <c r="BD14" s="219">
        <f>IF(ISNUMBER(BA14/AZ14),BA14/AZ14," - ")</f>
        <v>1.037037037037037</v>
      </c>
      <c r="BE14" s="220">
        <f>IF(ISNUMBER(BB14/BA14),BB14/BA14, " - ")</f>
        <v>0.5502232142857143</v>
      </c>
      <c r="BF14" s="220">
        <f>IF(ISNUMBER(BC14/BA14),BC14/BA14, " - ")</f>
        <v>0.3046875</v>
      </c>
      <c r="BG14" s="221">
        <f>IF(ISNUMBER((AY14+AZ14)/BA14),(AY14+AZ14)/BA14," - ")</f>
        <v>1.6774553571428572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303</v>
      </c>
      <c r="J17" s="196">
        <v>739</v>
      </c>
      <c r="K17" s="196">
        <v>840</v>
      </c>
      <c r="L17" s="196">
        <v>270</v>
      </c>
      <c r="M17" s="196">
        <v>166</v>
      </c>
      <c r="N17" s="196">
        <v>370</v>
      </c>
      <c r="O17" s="194">
        <v>0</v>
      </c>
      <c r="P17" s="196">
        <v>32</v>
      </c>
      <c r="Q17" s="196">
        <v>23</v>
      </c>
      <c r="R17" s="196">
        <v>32</v>
      </c>
      <c r="S17" s="196">
        <v>426</v>
      </c>
      <c r="T17" s="196">
        <v>765</v>
      </c>
      <c r="U17" s="196">
        <v>923</v>
      </c>
      <c r="V17" s="196">
        <v>303</v>
      </c>
      <c r="W17" s="196">
        <v>159</v>
      </c>
      <c r="X17" s="202">
        <v>431</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426</v>
      </c>
      <c r="AZ17" s="137">
        <f t="shared" si="10"/>
        <v>765</v>
      </c>
      <c r="BA17" s="137">
        <f t="shared" si="10"/>
        <v>923</v>
      </c>
      <c r="BB17" s="137">
        <f t="shared" si="10"/>
        <v>303</v>
      </c>
      <c r="BC17" s="135">
        <f>IF(ISNUMBER(W17),W17," - ")</f>
        <v>159</v>
      </c>
      <c r="BD17" s="136">
        <f t="shared" ref="BD17:BD22" si="12">IF(ISNUMBER(BA17/AZ17),BA17/AZ17," - ")</f>
        <v>1.2065359477124182</v>
      </c>
      <c r="BE17" s="137">
        <f t="shared" ref="BE17:BE22" si="13">IF(ISNUMBER(BB17/BA17),BB17/BA17, " - ")</f>
        <v>0.32827735644637052</v>
      </c>
      <c r="BF17" s="137">
        <f t="shared" ref="BF17:BF22" si="14">IF(ISNUMBER(BC17/BA17),BC17/BA17, " - ")</f>
        <v>0.1722643553629469</v>
      </c>
      <c r="BG17" s="209">
        <f t="shared" si="11"/>
        <v>1.2903575297941494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104</v>
      </c>
      <c r="K18" s="196">
        <v>109</v>
      </c>
      <c r="L18" s="196">
        <v>35</v>
      </c>
      <c r="M18" s="196">
        <v>13</v>
      </c>
      <c r="N18" s="196">
        <v>73</v>
      </c>
      <c r="O18" s="196">
        <v>0</v>
      </c>
      <c r="P18" s="196">
        <v>2</v>
      </c>
      <c r="Q18" s="196">
        <v>0</v>
      </c>
      <c r="R18" s="196">
        <v>2</v>
      </c>
      <c r="S18" s="196">
        <v>40</v>
      </c>
      <c r="T18" s="196">
        <v>73</v>
      </c>
      <c r="U18" s="196">
        <v>73</v>
      </c>
      <c r="V18" s="196">
        <v>40</v>
      </c>
      <c r="W18" s="196">
        <v>2</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73</v>
      </c>
      <c r="BA18" s="139">
        <f t="shared" si="15"/>
        <v>73</v>
      </c>
      <c r="BB18" s="139">
        <f t="shared" si="15"/>
        <v>40</v>
      </c>
      <c r="BC18" s="135">
        <f>IF(ISNUMBER(W18),W18," - ")</f>
        <v>2</v>
      </c>
      <c r="BD18" s="136">
        <f>IF(ISNUMBER(BA18/AZ18),BA18/AZ18," - ")</f>
        <v>1</v>
      </c>
      <c r="BE18" s="137">
        <f>IF(ISNUMBER(BB18/BA18),BB18/BA18, " - ")</f>
        <v>0.54794520547945202</v>
      </c>
      <c r="BF18" s="137">
        <f>IF(ISNUMBER(BC18/BA18),BC18/BA18, " - ")</f>
        <v>2.7397260273972601E-2</v>
      </c>
      <c r="BG18" s="209">
        <f>IF(ISNUMBER((AY18+AZ18)/BA18),(AY18+AZ18)/BA18," - ")</f>
        <v>1.547945205479452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843</v>
      </c>
      <c r="K23" s="197">
        <f t="shared" si="21"/>
        <v>949</v>
      </c>
      <c r="L23" s="197">
        <f t="shared" si="21"/>
        <v>305</v>
      </c>
      <c r="M23" s="197">
        <f t="shared" si="21"/>
        <v>179</v>
      </c>
      <c r="N23" s="197">
        <f t="shared" si="21"/>
        <v>443</v>
      </c>
      <c r="O23" s="197">
        <f t="shared" si="21"/>
        <v>0</v>
      </c>
      <c r="P23" s="197">
        <f t="shared" si="21"/>
        <v>34</v>
      </c>
      <c r="Q23" s="197">
        <f t="shared" si="21"/>
        <v>23</v>
      </c>
      <c r="R23" s="197">
        <f t="shared" si="21"/>
        <v>34</v>
      </c>
      <c r="S23" s="197">
        <f t="shared" si="21"/>
        <v>466</v>
      </c>
      <c r="T23" s="197">
        <f t="shared" si="21"/>
        <v>838</v>
      </c>
      <c r="U23" s="197">
        <f t="shared" si="21"/>
        <v>996</v>
      </c>
      <c r="V23" s="197">
        <f t="shared" si="21"/>
        <v>343</v>
      </c>
      <c r="W23" s="197">
        <f t="shared" si="21"/>
        <v>161</v>
      </c>
      <c r="X23" s="197">
        <f t="shared" si="21"/>
        <v>474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466</v>
      </c>
      <c r="AZ23" s="197">
        <f>SUBTOTAL(9,AZ15:AZ22)</f>
        <v>838</v>
      </c>
      <c r="BA23" s="197">
        <f>SUBTOTAL(9,BA15:BA22)</f>
        <v>996</v>
      </c>
      <c r="BB23" s="197">
        <f>SUBTOTAL(9,BB15:BB22)</f>
        <v>343</v>
      </c>
      <c r="BC23" s="197">
        <f>SUBTOTAL(9,BC15:BC22)</f>
        <v>161</v>
      </c>
      <c r="BD23" s="219">
        <f>IF(ISNUMBER(BA23/AZ23),BA23/AZ23," - ")</f>
        <v>1.1885441527446301</v>
      </c>
      <c r="BE23" s="220">
        <f>IF(ISNUMBER(BB23/BA23),BB23/BA23, " - ")</f>
        <v>0.34437751004016065</v>
      </c>
      <c r="BF23" s="220">
        <f>IF(ISNUMBER(BC23/BA23),BC23/BA23, " - ")</f>
        <v>0.16164658634538154</v>
      </c>
      <c r="BG23" s="221">
        <f>IF(ISNUMBER((AY23+AZ23)/BA23),(AY23+AZ23)/BA23," - ")</f>
        <v>1.3092369477911647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802</v>
      </c>
      <c r="J31" s="144">
        <f t="shared" si="36"/>
        <v>1672</v>
      </c>
      <c r="K31" s="144">
        <f t="shared" si="36"/>
        <v>1769</v>
      </c>
      <c r="L31" s="144">
        <f t="shared" si="36"/>
        <v>756</v>
      </c>
      <c r="M31" s="144">
        <f t="shared" si="36"/>
        <v>440</v>
      </c>
      <c r="N31" s="144">
        <f t="shared" si="36"/>
        <v>729</v>
      </c>
      <c r="O31" s="144">
        <f t="shared" si="36"/>
        <v>350</v>
      </c>
      <c r="P31" s="144">
        <f t="shared" si="36"/>
        <v>261</v>
      </c>
      <c r="Q31" s="144">
        <f t="shared" si="36"/>
        <v>123</v>
      </c>
      <c r="R31" s="144">
        <f t="shared" si="36"/>
        <v>917</v>
      </c>
      <c r="S31" s="144">
        <f t="shared" si="36"/>
        <v>1080</v>
      </c>
      <c r="T31" s="144">
        <f t="shared" si="36"/>
        <v>1552</v>
      </c>
      <c r="U31" s="144">
        <f t="shared" si="36"/>
        <v>1754</v>
      </c>
      <c r="V31" s="144">
        <f t="shared" si="36"/>
        <v>802</v>
      </c>
      <c r="W31" s="144">
        <f t="shared" si="36"/>
        <v>417</v>
      </c>
      <c r="X31" s="144">
        <f t="shared" si="36"/>
        <v>746</v>
      </c>
      <c r="Y31" s="144">
        <f t="shared" si="36"/>
        <v>34</v>
      </c>
      <c r="Z31" s="144">
        <f t="shared" si="36"/>
        <v>93</v>
      </c>
      <c r="AA31" s="144">
        <f t="shared" si="36"/>
        <v>99</v>
      </c>
      <c r="AB31" s="144">
        <f t="shared" si="36"/>
        <v>32</v>
      </c>
      <c r="AC31" s="144">
        <f t="shared" si="36"/>
        <v>0</v>
      </c>
      <c r="AD31" s="144">
        <f t="shared" si="36"/>
        <v>2</v>
      </c>
      <c r="AE31" s="144">
        <f t="shared" si="36"/>
        <v>2</v>
      </c>
      <c r="AF31" s="144">
        <f t="shared" si="36"/>
        <v>0</v>
      </c>
      <c r="AG31" s="144">
        <f t="shared" si="36"/>
        <v>25</v>
      </c>
      <c r="AH31" s="144">
        <f t="shared" si="36"/>
        <v>150</v>
      </c>
      <c r="AI31" s="144">
        <f t="shared" si="36"/>
        <v>138</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1105</v>
      </c>
      <c r="AZ31" s="144">
        <f>SUBTOTAL(9,AZ9:AZ30)</f>
        <v>1702</v>
      </c>
      <c r="BA31" s="144">
        <f>SUBTOTAL(9,BA9:BA30)</f>
        <v>1892</v>
      </c>
      <c r="BB31" s="144">
        <f>SUBTOTAL(9,BB9:BB30)</f>
        <v>836</v>
      </c>
      <c r="BC31" s="145">
        <f>SUBTOTAL(9,BC9:BC30)</f>
        <v>434</v>
      </c>
      <c r="BD31" s="227">
        <f>IF(ISNUMBER(BA31/AZ31),BA31/AZ31," - ")</f>
        <v>1.1116333725029377</v>
      </c>
      <c r="BE31" s="224">
        <f>IF(ISNUMBER(BB31/BA31),BB31/BA31, " - ")</f>
        <v>0.44186046511627908</v>
      </c>
      <c r="BF31" s="224">
        <f>IF(ISNUMBER(BC31/BA31),BC31/BA31, " - ")</f>
        <v>0.22938689217758984</v>
      </c>
      <c r="BG31" s="145">
        <f>IF(ISNUMBER((AY31+AZ31)/BA31),(AY31+AZ31)/BA31," - ")</f>
        <v>1.4836152219873151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s0GKr8GJQD6fsEjJvGi/ki3Dhn4/QLo0FmEyVEEAYhg8+sAw79D8i9rpQimrZrMHUJGyDNxnNwkEOr+t/dnwg==" saltValue="A8wHQZRyRi+SwnbghGeB7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4T4veILX01IuQaIwAxLhCwcfqVAXObYAMRuM1F/8onBod0KGhVP/nF/jsFCf0izJNRrz1AJBVfemHe+i8g+iQ==" saltValue="MDP6zZF4I99L5d1QOKCK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VERIN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1.2222222222222223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227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882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252</v>
      </c>
      <c r="BD12" s="693">
        <f>IF(ISNUMBER(Datos!N12),Datos!N12," - ")</f>
        <v>286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0.99452354874041626</v>
      </c>
      <c r="BH12" s="764">
        <f>IF(ISNUMBER(((IF(J_V="SI",Datos!L12/Datos!K12,(Datos!L12+Datos!AB12)/(Datos!K12+Datos!AA12)))*11)/factor_trimestre),((IF(J_V="SI",Datos!L12/Datos!K12,(Datos!L12+Datos!AB12)/(Datos!K12+Datos!AA12)))*11)/factor_trimestre," - ")</f>
        <v>5.8149779735682818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0.16821192052980133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227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100</v>
      </c>
      <c r="AD14" s="1198">
        <f t="shared" si="2"/>
        <v>0</v>
      </c>
      <c r="AE14" s="1198">
        <f t="shared" si="2"/>
        <v>0</v>
      </c>
      <c r="AF14" s="1198">
        <f t="shared" si="2"/>
        <v>3</v>
      </c>
      <c r="AG14" s="1198">
        <f t="shared" si="2"/>
        <v>0</v>
      </c>
      <c r="AH14" s="1198">
        <f t="shared" si="2"/>
        <v>32</v>
      </c>
      <c r="AI14" s="1198">
        <f t="shared" si="2"/>
        <v>0</v>
      </c>
      <c r="AJ14" s="1198">
        <f t="shared" si="2"/>
        <v>0</v>
      </c>
      <c r="AK14" s="1198">
        <f t="shared" si="2"/>
        <v>0</v>
      </c>
      <c r="AL14" s="1198">
        <f t="shared" si="2"/>
        <v>0</v>
      </c>
      <c r="AM14" s="1198">
        <f t="shared" si="2"/>
        <v>883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261</v>
      </c>
      <c r="BD14" s="1198">
        <f t="shared" si="2"/>
        <v>286</v>
      </c>
      <c r="BE14" s="1198">
        <f t="shared" si="2"/>
        <v>0</v>
      </c>
      <c r="BF14" s="1198">
        <f t="shared" si="2"/>
        <v>0</v>
      </c>
      <c r="BG14" s="1198">
        <f>IF(ISNUMBER(Datos!K14/Datos!J14),Datos!K14/Datos!J14," - ")</f>
        <v>0.98914354644149582</v>
      </c>
      <c r="BH14" s="1202">
        <f>IF(ISNUMBER(((Datos!L14/Datos!K14)*11)/factor_trimestre),((Datos!L14/Datos!K14)*11)/factor_trimestre," - ")</f>
        <v>6.0500000000000007</v>
      </c>
      <c r="BI14" s="1198">
        <f>IF(ISNUMBER('Resol  Asuntos'!D14/NºAsuntos!G14),'Resol  Asuntos'!D14/NºAsuntos!G14," - ")</f>
        <v>0.2840043525571273</v>
      </c>
      <c r="BJ14" s="1198" t="str">
        <f>IF(ISNUMBER(Datos!CI14/Datos!CJ14),Datos!CI14/Datos!CJ14," - ")</f>
        <v xml:space="preserve"> - </v>
      </c>
      <c r="BK14" s="1198">
        <f>SUBTOTAL(9,BK8:BK13)</f>
        <v>0</v>
      </c>
      <c r="BL14" s="1198">
        <f>IF(ISNUMBER((I14-AB14+L14)/(F14)),(I14-AB14+L14)/(F14)," - ")</f>
        <v>-2.2000000000000002</v>
      </c>
      <c r="BM14" s="1203">
        <f>SUBTOTAL(9,BM9:BM13)</f>
        <v>0.16821192052980133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371</v>
      </c>
      <c r="G17" s="743">
        <f>IF(ISNUMBER(IF(D_I="SI",Datos!I17,Datos!I17+Datos!AC17)),IF(D_I="SI",Datos!I17,Datos!I17+Datos!AC17)," - ")</f>
        <v>303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840</v>
      </c>
      <c r="AC17" s="240">
        <f>IF(ISNUMBER(Datos!Q17),Datos!Q17," - ")</f>
        <v>23</v>
      </c>
      <c r="AD17" s="374"/>
      <c r="AE17" s="562"/>
      <c r="AF17" s="741">
        <f>IF(ISNUMBER(IF(D_I="SI",Datos!L17,Datos!L17+Datos!AF17)),IF(D_I="SI",Datos!L17,Datos!L17+Datos!AF17)," - ")</f>
        <v>270</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166</v>
      </c>
      <c r="BD17" s="243">
        <f>IF(ISNUMBER(Datos!N17),Datos!N17," - ")</f>
        <v>370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1.1366711772665765</v>
      </c>
      <c r="BH17" s="764">
        <f>IF(ISNUMBER(((IF(D_I="SI",Datos!L17/Datos!K17,(Datos!L17+Datos!AF17)/(Datos!K17+Datos!AE17)))*11)/factor_trimestre),((IF(D_I="SI",Datos!L17/Datos!K17,(Datos!L17+Datos!AF17)/(Datos!K17+Datos!AE17)))*11)/factor_trimestre," - ")</f>
        <v>3.535714285714286</v>
      </c>
      <c r="BI17" s="266">
        <f>IF(ISNUMBER('Resol  Asuntos'!D17/NºAsuntos!G17),'Resol  Asuntos'!D17/NºAsuntos!G17," - ")</f>
        <v>0.19761904761904761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109</v>
      </c>
      <c r="AC18" s="547">
        <f>IF(ISNUMBER(Datos!Q18),Datos!Q18," - ")</f>
        <v>0</v>
      </c>
      <c r="AD18" s="549"/>
      <c r="AE18" s="562"/>
      <c r="AF18" s="551">
        <f>IF(ISNUMBER(Datos!L18),Datos!L18,"-")</f>
        <v>35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1.0480769230769231</v>
      </c>
      <c r="BH18" s="764">
        <f>IF(ISNUMBER(((IF(D_I="SI",Datos!L18/Datos!K18,(Datos!L18+Datos!AF18)/(Datos!K18+Datos!AE18)))*11)/factor_trimestre),((IF(D_I="SI",Datos!L18/Datos!K18,(Datos!L18+Datos!AF18)/(Datos!K18+Datos!AE18)))*11)/factor_trimestre," - ")</f>
        <v>3.5321100917431196</v>
      </c>
      <c r="BI18" s="763">
        <f>IF(ISNUMBER('Resol  Asuntos'!D18/NºAsuntos!G18),'Resol  Asuntos'!D18/NºAsuntos!G18," - ")</f>
        <v>0.11926605504587157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371</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949</v>
      </c>
      <c r="AC23" s="1198">
        <f t="shared" si="5"/>
        <v>23</v>
      </c>
      <c r="AD23" s="1198">
        <f t="shared" si="5"/>
        <v>0</v>
      </c>
      <c r="AE23" s="1198">
        <f t="shared" si="5"/>
        <v>0</v>
      </c>
      <c r="AF23" s="1198">
        <f t="shared" si="5"/>
        <v>305</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179</v>
      </c>
      <c r="BD23" s="1198">
        <f t="shared" si="5"/>
        <v>443</v>
      </c>
      <c r="BE23" s="1198">
        <f t="shared" si="5"/>
        <v>0</v>
      </c>
      <c r="BF23" s="1198">
        <f t="shared" si="5"/>
        <v>0</v>
      </c>
      <c r="BG23" s="1198">
        <f>IF(ISNUMBER(Datos!K23/Datos!J23),Datos!K23/Datos!J23," - ")</f>
        <v>1.1257413997627521</v>
      </c>
      <c r="BH23" s="1202">
        <f>IF(ISNUMBER(((Datos!L23/Datos!K23)*11)/factor_trimestre),((Datos!L23/Datos!K23)*11)/factor_trimestre," - ")</f>
        <v>3.5353003161222341</v>
      </c>
      <c r="BI23" s="1198">
        <f>SUBTOTAL(9,BI16:BI22)</f>
        <v>0.3168851026649192</v>
      </c>
      <c r="BJ23" s="1198">
        <f>SUBTOTAL(9,BJ16:BJ22)</f>
        <v>0</v>
      </c>
      <c r="BK23" s="1198">
        <f>SUBTOTAL(9,BK16:BK22)</f>
        <v>0</v>
      </c>
      <c r="BL23" s="1198">
        <f>IF(ISNUMBER((I23-AB23+L23)/(F23)),(I23-AB23+L23)/(F23)," - ")</f>
        <v>-2.5579514824797842</v>
      </c>
      <c r="BM23" s="1205">
        <f>IF(ISNUMBER((Datos!P23-Datos!Q23)/(Datos!R23-Datos!P23+Datos!Q23)),(Datos!P23-Datos!Q23)/(Datos!R23-Datos!P23+Datos!Q23)," - ")</f>
        <v>0.47826086956521741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376</v>
      </c>
      <c r="G31" s="1117">
        <f t="shared" si="18"/>
        <v>348</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960</v>
      </c>
      <c r="AC31" s="1118">
        <f t="shared" si="19"/>
        <v>123</v>
      </c>
      <c r="AD31" s="1118">
        <f t="shared" si="19"/>
        <v>0</v>
      </c>
      <c r="AE31" s="1118">
        <f t="shared" si="19"/>
        <v>0</v>
      </c>
      <c r="AF31" s="1125">
        <f t="shared" si="19"/>
        <v>308</v>
      </c>
      <c r="AG31" s="1125">
        <f t="shared" si="19"/>
        <v>0</v>
      </c>
      <c r="AH31" s="1125">
        <f t="shared" si="19"/>
        <v>32</v>
      </c>
      <c r="AI31" s="1125">
        <f t="shared" si="19"/>
        <v>0</v>
      </c>
      <c r="AJ31" s="1118">
        <f t="shared" si="19"/>
        <v>0</v>
      </c>
      <c r="AK31" s="1125">
        <f t="shared" si="19"/>
        <v>0</v>
      </c>
      <c r="AL31" s="1125">
        <f t="shared" si="19"/>
        <v>0</v>
      </c>
      <c r="AM31" s="1125">
        <f t="shared" si="19"/>
        <v>917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440</v>
      </c>
      <c r="BD31" s="1117">
        <f t="shared" si="19"/>
        <v>729</v>
      </c>
      <c r="BE31" s="1117">
        <f t="shared" si="19"/>
        <v>0</v>
      </c>
      <c r="BF31" s="1127">
        <f t="shared" si="19"/>
        <v>0</v>
      </c>
      <c r="BG31" s="1223">
        <f>IF(ISNUMBER(Datos!K31/Datos!J31),Datos!K31/Datos!J31," - ")</f>
        <v>1.0580143540669857</v>
      </c>
      <c r="BH31" s="1223">
        <f>IF(ISNUMBER(((Datos!L31/Datos!K31)*11)/factor_trimestre),((Datos!L31/Datos!K31)*11)/factor_trimestre," - ")</f>
        <v>4.7009609949123794</v>
      </c>
      <c r="BI31" s="1103">
        <f>IF(ISNUMBER(Datos!J31/Datos!I31),Datos!J31/Datos!I31," - ")</f>
        <v>2.0847880299251869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-2.5531914893617023</v>
      </c>
      <c r="BM31" s="1188">
        <f>IF(ISNUMBER((Datos!P31-Datos!Q31+R31)/(Datos!R31-Datos!P31+Datos!Q31-R31)),(Datos!P31-Datos!Q31+R31)/(Datos!R31-Datos!P31+Datos!Q31-R31)," - ")</f>
        <v>0.17715019255455713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190.30571895417822</v>
      </c>
      <c r="G33" s="674">
        <f>IF(ISNUMBER(STDEV(G8:G30)),STDEV(G8:G30),"-")</f>
        <v>153.78866141868971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426.55508213504868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116.29519090904589</v>
      </c>
      <c r="BD33" s="673"/>
      <c r="BE33" s="673">
        <f>IF(ISNUMBER(STDEV(BE8:BE30)),STDEV(BE8:BE30),"-")</f>
        <v>0</v>
      </c>
      <c r="BF33" s="678">
        <f>IF(ISNUMBER(STDEV(BF8:BF30)),STDEV(BF8:BF30),"-")</f>
        <v>0</v>
      </c>
      <c r="BG33" s="1052">
        <f>IF(ISNUMBER(STDEV(BG8:BG30)),STDEV(BG8:BG30),"-")</f>
        <v>9.1532169716463954E-2</v>
      </c>
      <c r="BH33" s="1058">
        <f>IF(ISNUMBER(STDEV(BH8:BH30)),STDEV(BH8:BH30),"-")</f>
        <v>1.3257339193511923</v>
      </c>
      <c r="BI33" s="273">
        <f>IF(ISNUMBER(STDEV(BI8:BI30)),STDEV(BI8:BI30),"-")</f>
        <v>8.9022067777714278E-2</v>
      </c>
      <c r="BJ33" s="244" t="str">
        <f>IF(ISNUMBER(BL33/BM33),BL33/BM33," - ")</f>
        <v xml:space="preserve"> - </v>
      </c>
      <c r="BK33" s="709"/>
      <c r="BL33" s="681">
        <f>IF(ISNUMBER(STDEV(BL8:BL30)),STDEV(BL8:BL30),"-")</f>
        <v>0.25310992059723297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qhmAEg3YSrj85wME1aQ/5cjcF7BQEriEPBXbKNax+l+mO2kl49kC/KTNr/MR1Cc6/vkUsajb/3c5y+KnJ1rc4Q==" saltValue="vMlgAfj8nnGXqhx/vZTn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VERIN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100</v>
      </c>
      <c r="AA12" s="551" t="str">
        <f>IF(ISNUMBER(IF(J_V="SI",Datos!L12,Datos!L12+Datos!AB12)-IF(Monitorios="SI",Datos!CD12,0)),
                          IF(J_V="SI",Datos!L12,Datos!L12+Datos!AB12)-IF(Monitorios="SI",Datos!CD12,0),
                          " - ")</f>
        <v xml:space="preserve"> - </v>
      </c>
      <c r="AB12" s="549"/>
      <c r="AC12" s="549"/>
      <c r="AD12" s="563"/>
      <c r="AE12" s="563">
        <f>IF(ISNUMBER(Datos!R12),Datos!R12," - ")</f>
        <v>882</v>
      </c>
      <c r="AF12" s="693" t="str">
        <f>IF(ISNUMBER(Datos!BV12),Datos!BV12," - ")</f>
        <v xml:space="preserve"> - </v>
      </c>
      <c r="AG12" s="552" t="str">
        <f>IF(ISNUMBER(Datos!DV12),Datos!DV12," - ")</f>
        <v xml:space="preserve"> - </v>
      </c>
      <c r="AH12" s="553"/>
      <c r="AI12" s="554"/>
      <c r="AJ12" s="552">
        <f>IF(ISNUMBER(Datos!M12),Datos!M12," - ")</f>
        <v>252</v>
      </c>
      <c r="AK12" s="693">
        <f>IF(ISNUMBER(Datos!N12),Datos!N12," - ")</f>
        <v>286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5.8149779735682818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0.16821192052980133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227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100</v>
      </c>
      <c r="AA14" s="1199">
        <f t="shared" si="3"/>
        <v>3</v>
      </c>
      <c r="AB14" s="1199">
        <f t="shared" si="3"/>
        <v>0</v>
      </c>
      <c r="AC14" s="1199">
        <f t="shared" si="3"/>
        <v>0</v>
      </c>
      <c r="AD14" s="1199">
        <f t="shared" si="3"/>
        <v>0</v>
      </c>
      <c r="AE14" s="1199">
        <f t="shared" si="3"/>
        <v>883</v>
      </c>
      <c r="AF14" s="1211">
        <f t="shared" si="3"/>
        <v>0</v>
      </c>
      <c r="AG14" s="1211">
        <f t="shared" si="3"/>
        <v>0</v>
      </c>
      <c r="AH14" s="1211">
        <f t="shared" si="3"/>
        <v>0</v>
      </c>
      <c r="AI14" s="1211">
        <f t="shared" si="3"/>
        <v>0</v>
      </c>
      <c r="AJ14" s="1211">
        <f t="shared" si="3"/>
        <v>261</v>
      </c>
      <c r="AK14" s="1211">
        <f t="shared" si="3"/>
        <v>286</v>
      </c>
      <c r="AL14" s="1211">
        <f t="shared" si="3"/>
        <v>0</v>
      </c>
      <c r="AM14" s="1211">
        <f t="shared" si="3"/>
        <v>0</v>
      </c>
      <c r="AN14" s="1211">
        <f t="shared" si="3"/>
        <v>0</v>
      </c>
      <c r="AO14" s="1203">
        <f>IF(ISNUMBER(((NºAsuntos!I14/NºAsuntos!G14)*11)/factor_trimestre),((NºAsuntos!I14/NºAsuntos!G14)*11)/factor_trimestre," - ")</f>
        <v>5.7812840043525568</v>
      </c>
      <c r="AP14" s="1213" t="str">
        <f>IF(ISNUMBER(Datos!CI14/Datos!CJ14),Datos!CI14/Datos!CJ14," - ")</f>
        <v xml:space="preserve"> - </v>
      </c>
      <c r="AQ14" s="1236">
        <f t="shared" ref="AQ14:AV14" si="4">SUBTOTAL(9,AQ9:AQ13)</f>
        <v>0</v>
      </c>
      <c r="AR14" s="1236">
        <f t="shared" si="4"/>
        <v>0.16821192052980133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371</v>
      </c>
      <c r="G17" s="552">
        <f>IF(ISNUMBER(IF(D_I="SI",Datos!I17,Datos!I17+Datos!AC17)),IF(D_I="SI",Datos!I17,Datos!I17+Datos!AC17)," - ")</f>
        <v>303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840</v>
      </c>
      <c r="Z17" s="805">
        <f>IF(ISNUMBER(Datos!Q17),Datos!Q17," - ")</f>
        <v>23</v>
      </c>
      <c r="AA17" s="551">
        <f>IF(ISNUMBER(IF(D_I="SI",Datos!L17,Datos!L17+Datos!AF17)),IF(D_I="SI",Datos!L17,Datos!L17+Datos!AF17)," - ")</f>
        <v>270</v>
      </c>
      <c r="AB17" s="549"/>
      <c r="AC17" s="549"/>
      <c r="AD17" s="563"/>
      <c r="AE17" s="563">
        <f>IF(ISNUMBER(Datos!R17),Datos!R17," - ")</f>
        <v>32</v>
      </c>
      <c r="AF17" s="693" t="str">
        <f>IF(ISNUMBER(Datos!BV17),Datos!BV17," - ")</f>
        <v xml:space="preserve"> - </v>
      </c>
      <c r="AG17" s="552"/>
      <c r="AH17" s="553"/>
      <c r="AI17" s="554"/>
      <c r="AJ17" s="552">
        <f>IF(ISNUMBER(Datos!M17),Datos!M17," - ")</f>
        <v>166</v>
      </c>
      <c r="AK17" s="693">
        <f>IF(ISNUMBER(Datos!N17),Datos!N17," - ")</f>
        <v>370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3.535714285714286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109</v>
      </c>
      <c r="Z18" s="805">
        <f>IF(ISNUMBER(Datos!Q18),Datos!Q18," - ")</f>
        <v>0</v>
      </c>
      <c r="AA18" s="551">
        <f>IF(ISNUMBER(Datos!L18),Datos!L18,"-")</f>
        <v>35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3.5321100917431196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371</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949</v>
      </c>
      <c r="Z23" s="1240">
        <f t="shared" si="6"/>
        <v>23</v>
      </c>
      <c r="AA23" s="1240">
        <f t="shared" si="6"/>
        <v>305</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179</v>
      </c>
      <c r="AK23" s="1240">
        <f t="shared" si="6"/>
        <v>443</v>
      </c>
      <c r="AL23" s="1240">
        <f t="shared" si="6"/>
        <v>0</v>
      </c>
      <c r="AM23" s="1240">
        <f t="shared" si="6"/>
        <v>0</v>
      </c>
      <c r="AN23" s="1240">
        <f t="shared" si="6"/>
        <v>0</v>
      </c>
      <c r="AO23" s="1242">
        <f>IF(ISNUMBER(((NºAsuntos!I23/NºAsuntos!G23)*11)/factor_trimestre),((NºAsuntos!I23/NºAsuntos!G23)*11)/factor_trimestre," - ")</f>
        <v>3.5353003161222341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376</v>
      </c>
      <c r="G31" s="1117">
        <f t="shared" si="12"/>
        <v>348</v>
      </c>
      <c r="H31" s="1118">
        <f t="shared" si="12"/>
        <v>0</v>
      </c>
      <c r="I31" s="1117">
        <f t="shared" si="12"/>
        <v>0</v>
      </c>
      <c r="J31" s="1119">
        <f t="shared" si="12"/>
        <v>0</v>
      </c>
      <c r="K31" s="1117">
        <f t="shared" si="12"/>
        <v>0</v>
      </c>
      <c r="L31" s="1120">
        <f t="shared" si="12"/>
        <v>0</v>
      </c>
      <c r="M31" s="1117">
        <f t="shared" si="12"/>
        <v>0</v>
      </c>
      <c r="N31" s="1118">
        <f t="shared" si="12"/>
        <v>261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960</v>
      </c>
      <c r="Z31" s="1124">
        <f t="shared" si="13"/>
        <v>123</v>
      </c>
      <c r="AA31" s="1125">
        <f t="shared" si="13"/>
        <v>308</v>
      </c>
      <c r="AB31" s="1125">
        <f t="shared" si="13"/>
        <v>0</v>
      </c>
      <c r="AC31" s="1125">
        <f t="shared" si="13"/>
        <v>0</v>
      </c>
      <c r="AD31" s="1126">
        <f t="shared" si="13"/>
        <v>0</v>
      </c>
      <c r="AE31" s="1126">
        <f t="shared" si="13"/>
        <v>917</v>
      </c>
      <c r="AF31" s="1127">
        <f t="shared" si="13"/>
        <v>0</v>
      </c>
      <c r="AG31" s="1128">
        <f t="shared" si="13"/>
        <v>0</v>
      </c>
      <c r="AH31" s="1129">
        <f t="shared" si="13"/>
        <v>0</v>
      </c>
      <c r="AI31" s="1127">
        <f t="shared" si="13"/>
        <v>0</v>
      </c>
      <c r="AJ31" s="1117">
        <f t="shared" si="13"/>
        <v>440</v>
      </c>
      <c r="AK31" s="1117">
        <f t="shared" si="13"/>
        <v>729</v>
      </c>
      <c r="AL31" s="1117">
        <f t="shared" si="13"/>
        <v>0</v>
      </c>
      <c r="AM31" s="1130">
        <f t="shared" si="13"/>
        <v>0</v>
      </c>
      <c r="AN31" s="1120">
        <f>IF(ISNUMBER(Datos!K31/Datos!J31),Datos!K31/Datos!J31," - ")</f>
        <v>1.0580143540669857</v>
      </c>
      <c r="AO31" s="1120">
        <f>IF(ISNUMBER(FIND("06",Criterios!A8,1)),(IF(ISNUMBER(((Datos!R31/Datos!Q31)*11)/factor_trimestre),((Datos!R31/Datos!Q31)*11)/factor_trimestre," - ")),(IF(ISNUMBER(((Datos!L31/Datos!K31)*11)/factor_trimestre),((Datos!L31/Datos!K31)*11)/factor_trimestre," - ")))</f>
        <v>4.7009609949123794</v>
      </c>
      <c r="AP31" s="1131" t="str">
        <f>IF(ISNUMBER(Datos!CI31/Datos!CJ31),Datos!CI31/Datos!CJ31," - ")</f>
        <v xml:space="preserve"> - </v>
      </c>
      <c r="AQ31" s="1131">
        <f>IF(OR(ISNUMBER(FIND("01",Criterios!A8,1)),ISNUMBER(FIND("02",Criterios!A8,1)),ISNUMBER(FIND("03",Criterios!A8,1)),ISNUMBER(FIND("04",Criterios!A8,1))),(J31-Y31+K31)/(F31-K31),(I31-Y31+K31)/(F31-K31))</f>
        <v>-2.5531914893617023</v>
      </c>
      <c r="AR31" s="1131">
        <f>IF(ISNUMBER((Datos!P31-Datos!Q31+O31)/(Datos!R31-Datos!P31+Datos!Q31-O31)),(Datos!P31-Datos!Q31+O31)/(Datos!R31-Datos!P31+Datos!Q31-O31)," - ")</f>
        <v>0.17715019255455713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190.30571895417822</v>
      </c>
      <c r="G33" s="674">
        <f>IF(ISNUMBER(STDEV(G8:G30)),STDEV(G8:G30),"-")</f>
        <v>153.78866141868971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116.29519090904589</v>
      </c>
      <c r="AK33" s="276"/>
      <c r="AL33" s="276">
        <f>IF(ISNUMBER(STDEV(AL8:AL30)),STDEV(AL8:AL30),"-")</f>
        <v>0</v>
      </c>
      <c r="AM33" s="278">
        <f>IF(ISNUMBER(STDEV(AM8:AM30)),STDEV(AM8:AM30),"-")</f>
        <v>0</v>
      </c>
      <c r="AN33" s="660">
        <f>IF(ISNUMBER(STDEV(AN8:AN30)),STDEV(AN8:AN30),"-")</f>
        <v>0</v>
      </c>
      <c r="AO33" s="661">
        <f>IF(ISNUMBER(STDEV(AO8:AO30)),STDEV(AO8:AO30),"-")</f>
        <v>1.255212412648895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TZr/c3ijz6MAVloGmuh+K3pxYMoqPszDCdQkjk8HBtmV5JhYqwr8HUa2tX1yo9WGfcb3sv0uxd3SSlcbazbQ==" saltValue="knAt7A4B3okEKk7noxP5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lgrn/N/Rae7BqLrKIaX0XLHu644dYOTJ4HD595jMMg42BlKDO7StB56gyPCnn67lgCguorhsNqmZy2OcWAQKg==" saltValue="902IM4mmVVELRIBuNYc2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J8+qx5igxtxpSH8GlDIQxGnfaRLxjQgXTQeh2n/Lz09NmDOv0WDWvW/QSGju/THGeSlv5quyXF6dHjrO2WpQ==" saltValue="pzXFOSOBfK4WXrV81OfH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VERIN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0.2840043525571273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0.20082140357963971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SrzhnempbrNmxV4uvui14G3ZgWav4huz9HTfOQGXCPcBRura5C2IuYiOzCtjFG/wL14Tl3O0btn5RtG2FnE9SQ==" saltValue="fFAbmOJLQaaB+vT7eY9/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p22exhFQBejjlkIjizK4A6IaJQF9cSMsZd6OV23+7Ym0yR4hkzMQcu5LHs9SqlY1Z/CUyCewQx9aWxuazCevg==" saltValue="ERqlzbG0bxKGrj6zbDkr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VERIN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9</v>
      </c>
      <c r="F10" s="452">
        <f>IF(ISNUMBER(E10/B10),E10/B10," - ")</f>
        <v>9</v>
      </c>
      <c r="G10" s="451">
        <f>IF(ISNUMBER(Datos!K10),Datos!K10," - ")</f>
        <v>11</v>
      </c>
      <c r="H10" s="452">
        <f>IF(ISNUMBER(G10/B10),G10/B10," - ")</f>
        <v>11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488</v>
      </c>
      <c r="D12" s="452">
        <f>IF(ISNUMBER(C12/Datos!BH12),C12/Datos!BH12," - ")</f>
        <v>244</v>
      </c>
      <c r="E12" s="451">
        <f>IF(ISNUMBER(IF(J_V="SI",Datos!J12,Datos!J12+Datos!Z12)),IF(J_V="SI",Datos!J12,Datos!J12+Datos!Z12)," - ")</f>
        <v>913</v>
      </c>
      <c r="F12" s="452">
        <f>IF(ISNUMBER(E12/B12),E12/B12," - ")</f>
        <v>456.5</v>
      </c>
      <c r="G12" s="451">
        <f>IF(ISNUMBER(IF(J_V="SI",Datos!K12,Datos!K12+Datos!AA12)),IF(J_V="SI",Datos!K12,Datos!K12+Datos!AA12)," - ")</f>
        <v>908</v>
      </c>
      <c r="H12" s="452">
        <f>IF(ISNUMBER(G12/B12),G12/B12," - ")</f>
        <v>454</v>
      </c>
      <c r="I12" s="451">
        <f>IF(ISNUMBER(IF(J_V="SI",Datos!L12,Datos!L12+Datos!AB12)),IF(J_V="SI",Datos!L12,Datos!L12+Datos!AB12)," - ")</f>
        <v>480</v>
      </c>
      <c r="J12" s="452">
        <f>IF(ISNUMBER(I12/B12),I12/B12," - ")</f>
        <v>240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493</v>
      </c>
      <c r="D14" s="1147" t="str">
        <f>IF(ISNUMBER(C14/Datos!BI14),C14/Datos!BI14," - ")</f>
        <v xml:space="preserve"> - </v>
      </c>
      <c r="E14" s="1146">
        <f>SUBTOTAL(9,E8:E13)</f>
        <v>922</v>
      </c>
      <c r="F14" s="1147">
        <f>IF(ISNUMBER(E14/B14),E14/B14," - ")</f>
        <v>461</v>
      </c>
      <c r="G14" s="1146">
        <f>SUBTOTAL(9,G8:G13)</f>
        <v>919</v>
      </c>
      <c r="H14" s="1147">
        <f>IF(ISNUMBER(G14/B14),G14/B14," - ")</f>
        <v>459.5</v>
      </c>
      <c r="I14" s="1146">
        <f>SUBTOTAL(9,I8:I13)</f>
        <v>483</v>
      </c>
      <c r="J14" s="1147">
        <f>IF(ISNUMBER(I14/B14),I14/B14," - ")</f>
        <v>241.5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303</v>
      </c>
      <c r="D17" s="452">
        <f>IF(ISNUMBER(C17/Datos!BH17),C17/Datos!BH17," - ")</f>
        <v>151.5</v>
      </c>
      <c r="E17" s="451">
        <f>IF(ISNUMBER(IF(D_I="SI",Datos!J17,Datos!J17+Datos!AD17)),IF(D_I="SI",Datos!J17,Datos!J17+Datos!AD17)," - ")</f>
        <v>739</v>
      </c>
      <c r="F17" s="452">
        <f>IF(ISNUMBER(E17/B17),E17/B17," - ")</f>
        <v>369.5</v>
      </c>
      <c r="G17" s="451">
        <f>IF(ISNUMBER(IF(D_I="SI",Datos!K17,Datos!K17+Datos!AE17)),IF(D_I="SI",Datos!K17,Datos!K17+Datos!AE17)," - ")</f>
        <v>840</v>
      </c>
      <c r="H17" s="452">
        <f>IF(ISNUMBER(G17/B17),G17/B17," - ")</f>
        <v>420</v>
      </c>
      <c r="I17" s="451">
        <f>IF(ISNUMBER(IF(D_I="SI",Datos!L17,Datos!L17+Datos!AF17)),IF(D_I="SI",Datos!L17,Datos!L17+Datos!AF17)," - ")</f>
        <v>270</v>
      </c>
      <c r="J17" s="452">
        <f>IF(ISNUMBER(I17/B17),I17/B17," - ")</f>
        <v>135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104</v>
      </c>
      <c r="F18" s="452">
        <f>IF(ISNUMBER(E18/B18),E18/B18," - ")</f>
        <v>104</v>
      </c>
      <c r="G18" s="451">
        <f>IF(ISNUMBER(IF(D_I="SI",Datos!K18,Datos!K18+Datos!AE18)),IF(D_I="SI",Datos!K18,Datos!K18+Datos!AE18)," - ")</f>
        <v>109</v>
      </c>
      <c r="H18" s="452">
        <f>IF(ISNUMBER(G18/B18),G18/B18," - ")</f>
        <v>109</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343</v>
      </c>
      <c r="D23" s="1147" t="str">
        <f>IF(ISNUMBER(C23/Datos!BI23),C23/Datos!BI23," - ")</f>
        <v xml:space="preserve"> - </v>
      </c>
      <c r="E23" s="1146">
        <f>SUBTOTAL(9,E15:E22)</f>
        <v>843</v>
      </c>
      <c r="F23" s="1147">
        <f>IF(ISNUMBER(E23/B23),E23/B23," - ")</f>
        <v>421.5</v>
      </c>
      <c r="G23" s="1146">
        <f>SUBTOTAL(9,G15:G22)</f>
        <v>949</v>
      </c>
      <c r="H23" s="1147">
        <f>IF(ISNUMBER(G23/B23),G23/B23," - ")</f>
        <v>474.5</v>
      </c>
      <c r="I23" s="1146">
        <f>SUBTOTAL(9,I15:I22)</f>
        <v>305</v>
      </c>
      <c r="J23" s="1147">
        <f>IF(ISNUMBER(I23/B23),I23/B23," - ")</f>
        <v>152.5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836</v>
      </c>
      <c r="D31" s="1085" t="str">
        <f>IF(ISNUMBER(C31/Datos!BI31),C31/Datos!BI31," - ")</f>
        <v xml:space="preserve"> - </v>
      </c>
      <c r="E31" s="1084">
        <f>SUBTOTAL(9,E9:E30)</f>
        <v>1765</v>
      </c>
      <c r="F31" s="1085">
        <f>IF(ISNUMBER(E31/B31),E31/B31," - ")</f>
        <v>882.5</v>
      </c>
      <c r="G31" s="1084">
        <f>SUBTOTAL(9,G9:G30)</f>
        <v>1868</v>
      </c>
      <c r="H31" s="1085">
        <f>IF(ISNUMBER(G31/B31),G31/B31," - ")</f>
        <v>934</v>
      </c>
      <c r="I31" s="1084">
        <f>SUBTOTAL(9,I9:I30)</f>
        <v>788</v>
      </c>
      <c r="J31" s="1085">
        <f>IF(ISNUMBER(I31/B31),I31/B31," - ")</f>
        <v>394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in37zybNN/EhPQkkNQrP46yxaEy3+mWSFvVnaeV8tU0brkPEkiMOb8E5kK5N7tQDi/RH6tKg7jDCAQdkXoCRw==" saltValue="1ZXY6k6YDPhWWsezI8tp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VERIN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252</v>
      </c>
      <c r="AM12" s="914">
        <f>IF(ISNUMBER(Datos!N12+DatosP!N17),Datos!N12+DatosP!N17," - ")</f>
        <v>286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5.8149779735682818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0.16821192052980133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227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100</v>
      </c>
      <c r="AE14" s="1257">
        <f t="shared" si="1"/>
        <v>0</v>
      </c>
      <c r="AF14" s="1257">
        <f t="shared" si="1"/>
        <v>3</v>
      </c>
      <c r="AG14" s="1257">
        <f t="shared" si="1"/>
        <v>0</v>
      </c>
      <c r="AH14" s="1257">
        <f t="shared" si="1"/>
        <v>882</v>
      </c>
      <c r="AI14" s="1257">
        <f t="shared" si="1"/>
        <v>0</v>
      </c>
      <c r="AJ14" s="1257">
        <f t="shared" si="1"/>
        <v>0</v>
      </c>
      <c r="AK14" s="1257">
        <f t="shared" si="1"/>
        <v>0</v>
      </c>
      <c r="AL14" s="1257">
        <f t="shared" si="1"/>
        <v>261</v>
      </c>
      <c r="AM14" s="1257">
        <f t="shared" si="1"/>
        <v>286</v>
      </c>
      <c r="AN14" s="1257">
        <f t="shared" si="1"/>
        <v>0</v>
      </c>
      <c r="AO14" s="1257">
        <f t="shared" si="1"/>
        <v>0</v>
      </c>
      <c r="AP14" s="1262">
        <f>IF(ISNUMBER(((Datos!L14/Datos!K14)*11)/factor_trimestre),((Datos!L14/Datos!K14)*11)/factor_trimestre," - ")</f>
        <v>6.0500000000000007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-2.2000000000000002</v>
      </c>
      <c r="AU14" s="1257" t="str">
        <f>IF(ISNUMBER((DatosP!#REF!-DatosP!#REF!+DatosP!#REF!)/(DatosP!#REF!+DatosP!#REF!-DatosP!#REF!-DatosP!#REF!)),(DatosP!#REF!-DatosP!#REF!+DatosP!#REF!)/(DatosP!#REF!+DatosP!#REF!-DatosP!#REF!-DatosP!#REF!)," - ")</f>
        <v xml:space="preserve"> - </v>
      </c>
      <c r="AV14" s="1263">
        <f>SUBTOTAL(9,AV9:AV13)</f>
        <v>0.16821192052980133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3.5353003161222341</v>
      </c>
      <c r="AQ23" s="1262">
        <f>IF(ISNUMBER(((Datos!M23/Datos!L23)*11)/factor_trimestre),((Datos!M23/Datos!L23)*11)/factor_trimestre," - ")</f>
        <v>6.4557377049180333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0.47826086956521741</v>
      </c>
      <c r="AW23" s="1265">
        <f>IF(ISNUMBER((Datos!Q23-Datos!R23)/(Datos!S23-Datos!Q23+Datos!R23)),(Datos!Q23-Datos!R23)/(Datos!S23-Datos!Q23+Datos!R23)," - ")</f>
        <v>-2.3060796645702306E-2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227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100</v>
      </c>
      <c r="AE31" s="1284">
        <f t="shared" si="9"/>
        <v>0</v>
      </c>
      <c r="AF31" s="1285">
        <f t="shared" si="9"/>
        <v>3</v>
      </c>
      <c r="AG31" s="1285">
        <f t="shared" si="9"/>
        <v>0</v>
      </c>
      <c r="AH31" s="1285">
        <f t="shared" si="9"/>
        <v>882</v>
      </c>
      <c r="AI31" s="1285">
        <f t="shared" si="9"/>
        <v>0</v>
      </c>
      <c r="AJ31" s="1286">
        <f t="shared" si="9"/>
        <v>0</v>
      </c>
      <c r="AK31" s="1286">
        <f t="shared" si="9"/>
        <v>0</v>
      </c>
      <c r="AL31" s="1278">
        <f t="shared" si="9"/>
        <v>261</v>
      </c>
      <c r="AM31" s="1278">
        <f t="shared" si="9"/>
        <v>286</v>
      </c>
      <c r="AN31" s="1278">
        <f t="shared" si="9"/>
        <v>0</v>
      </c>
      <c r="AO31" s="1278">
        <f t="shared" si="9"/>
        <v>0</v>
      </c>
      <c r="AP31" s="1278">
        <f>IF(ISNUMBER(((Datos!L31/Datos!K31)*11)/factor_trimestre),((Datos!L31/Datos!K31)*11)/factor_trimestre," - ")</f>
        <v>4.7009609949123794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-2.2000000000000002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0.17715019255455713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131.3712297270601</v>
      </c>
      <c r="AM33" s="1006"/>
      <c r="AN33" s="1006">
        <f>IF(ISNUMBER(STDEV(AN8:AN30)),STDEV(AN8:AN30),"-")</f>
        <v>0</v>
      </c>
      <c r="AO33" s="1012">
        <f>IF(ISNUMBER(STDEV(AO8:AO30)),STDEV(AO8:AO30),"-")</f>
        <v>0</v>
      </c>
      <c r="AP33" s="1065">
        <f>IF(ISNUMBER(STDEV(AP8:AP30)),STDEV(AP8:AP30),"-")</f>
        <v>1.5569475343059556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1WQ6iVVcrLjM7DD1KBjqKYxiuDCCtXH8m+DsAsSaE0QBOdl+r8AbBXlkCAcJmszSHD6URUIYllFhq/A4cXUow==" saltValue="N33ozxnebC0JAF8N6vyP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VERIN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840EQKq5Oy7GUUK6NUdnmAXATLIOI+sWcotXk0ofZz1T+Bw41A6MqFvy/owvTlD9iT5D+E5PTCTyQEhNHZsW8A==" saltValue="q40t9HHCnv8O/9N2vEsX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VERIN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252</v>
      </c>
      <c r="E12" s="452">
        <f t="shared" si="0"/>
        <v>126</v>
      </c>
      <c r="F12" s="451">
        <f>IF(ISNUMBER(Datos!N12),Datos!N12," - ")</f>
        <v>286</v>
      </c>
      <c r="G12" s="452">
        <f t="shared" si="1"/>
        <v>143</v>
      </c>
      <c r="H12" s="451">
        <f>IF(ISNUMBER(Datos!O12),Datos!O12," - ")</f>
        <v>350</v>
      </c>
      <c r="I12" s="452">
        <f t="shared" si="2"/>
        <v>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261</v>
      </c>
      <c r="E14" s="1147">
        <f t="shared" si="0"/>
        <v>87</v>
      </c>
      <c r="F14" s="1146">
        <f>SUBTOTAL(9,F9:F13)</f>
        <v>286</v>
      </c>
      <c r="G14" s="1147">
        <f t="shared" si="1"/>
        <v>95.333333333333329</v>
      </c>
      <c r="H14" s="1146">
        <f>SUBTOTAL(9,H9:H13)</f>
        <v>350</v>
      </c>
      <c r="I14" s="1147">
        <f>IF(ISNUMBER(H14/B14),H14/B14," - ")</f>
        <v>116.66666666666667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166</v>
      </c>
      <c r="E17" s="452">
        <f t="shared" si="3"/>
        <v>83</v>
      </c>
      <c r="F17" s="451">
        <f>IF(ISNUMBER(Datos!N17),Datos!N17," - ")</f>
        <v>370</v>
      </c>
      <c r="G17" s="452">
        <f t="shared" si="4"/>
        <v>185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73</v>
      </c>
      <c r="G18" s="452">
        <f>IF(ISNUMBER(F18/B18),F18/B18," - ")</f>
        <v>73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179</v>
      </c>
      <c r="E23" s="1147">
        <f t="shared" si="3"/>
        <v>59.666666666666664</v>
      </c>
      <c r="F23" s="1146">
        <f>SUBTOTAL(9,F16:F22)</f>
        <v>443</v>
      </c>
      <c r="G23" s="1147">
        <f t="shared" si="4"/>
        <v>147.66666666666666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440</v>
      </c>
      <c r="E31" s="1085">
        <f>IF(ISNUMBER(D31/B31),D31/B31," - ")</f>
        <v>220</v>
      </c>
      <c r="F31" s="1084">
        <f>SUBTOTAL(9,F8:F30)</f>
        <v>729</v>
      </c>
      <c r="G31" s="1085">
        <f>IF(ISNUMBER(F31/B31),F31/B31," - ")</f>
        <v>364.5</v>
      </c>
      <c r="H31" s="1084">
        <f>SUBTOTAL(9,H8:H30)</f>
        <v>350</v>
      </c>
      <c r="I31" s="1085">
        <f>IF(ISNUMBER(H31/B31),H31/B31," - ")</f>
        <v>175</v>
      </c>
    </row>
    <row r="34" spans="1:1">
      <c r="A34" s="439" t="str">
        <f>Criterios!A4</f>
        <v>Fecha Informe: 14 abr. 2023</v>
      </c>
    </row>
    <row r="39" spans="1:1">
      <c r="A39" s="462"/>
    </row>
  </sheetData>
  <sheetProtection algorithmName="SHA-512" hashValue="HrpUa1nhtwXZwqx5tbU1ONI6RDj6XMuKO4T/JTVspwEFXklif1i8iR9INV3/UjGK86gQM8RxN5j11bHt0C08tA==" saltValue="crrbmo19aSjVFS0HST7T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VERIN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227</v>
      </c>
      <c r="C12" s="489">
        <f>IF(ISNUMBER(Datos!Q12),Datos!Q12," - ")</f>
        <v>100</v>
      </c>
      <c r="D12" s="456">
        <f>IF(ISNUMBER(Datos!R12),Datos!R12," - ")</f>
        <v>882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227</v>
      </c>
      <c r="C14" s="1150">
        <f>SUBTOTAL(9,C9:C13)</f>
        <v>100</v>
      </c>
      <c r="D14" s="1148">
        <f>SUBTOTAL(9,D9:D13)</f>
        <v>883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23</v>
      </c>
      <c r="D17" s="456">
        <f>IF(ISNUMBER(Datos!R17),Datos!R17," - ")</f>
        <v>32</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23</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261</v>
      </c>
      <c r="C31" s="1089">
        <f>SUBTOTAL(9,C8:C30)</f>
        <v>123</v>
      </c>
      <c r="D31" s="1090">
        <f>SUBTOTAL(9,D8:D30)</f>
        <v>917</v>
      </c>
    </row>
    <row r="32" spans="1:4" ht="7.5" customHeight="1"/>
    <row r="33" spans="1:1" ht="6" customHeight="1"/>
    <row r="34" spans="1:1">
      <c r="A34" s="439" t="str">
        <f>Criterios!A4</f>
        <v>Fecha Informe: 14 abr. 2023</v>
      </c>
    </row>
    <row r="39" spans="1:1">
      <c r="A39" s="462"/>
    </row>
  </sheetData>
  <sheetProtection algorithmName="SHA-512" hashValue="IISt15i0Wi7Xv6zqAzbFFZAfIDT/Ogf+asRiFAeg5ktWvgQ+COz2tLSeDo5eDzRI6IWGUcgKJagPhbFae++FCg==" saltValue="Ph1Ec16UgkkAUGccpHvv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VERIN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0.125</v>
      </c>
      <c r="D10" s="515">
        <f>IF(ISNUMBER((Datos!K10-Datos!U10)/Datos!U10),(Datos!K10-Datos!U10)/Datos!U10," - ")</f>
        <v>1.2</v>
      </c>
      <c r="E10" s="515">
        <f>IF(ISNUMBER((Datos!L10-Datos!V10)/Datos!V10),(Datos!L10-Datos!V10)/Datos!V10," - ")</f>
        <v>-0.4</v>
      </c>
      <c r="F10" s="515">
        <f>IF(ISNUMBER((Datos!M10-Datos!W10)/Datos!W10),(Datos!M10-Datos!W10)/Datos!W10," - ")</f>
        <v>3.5</v>
      </c>
      <c r="G10" s="516">
        <f>IF(ISNUMBER((Datos!N10-Datos!X10)/Datos!X10),(Datos!N10-Datos!X10)/Datos!X10," - ")</f>
        <v>-1</v>
      </c>
      <c r="H10" s="514">
        <f>IF(ISNUMBER(((NºAsuntos!G10/NºAsuntos!E10)-Datos!BD10)/Datos!BD10),((NºAsuntos!G10/NºAsuntos!E10)-Datos!BD10)/Datos!BD10," - ")</f>
        <v>0.95555555555555571</v>
      </c>
      <c r="I10" s="515">
        <f>IF(ISNUMBER(((NºAsuntos!I10/NºAsuntos!G10)-Datos!BE10)/Datos!BE10),((NºAsuntos!I10/NºAsuntos!G10)-Datos!BE10)/Datos!BE10," - ")</f>
        <v>-0.72727272727272729</v>
      </c>
      <c r="J10" s="521">
        <f>IF(ISNUMBER((('Resol  Asuntos'!D10/NºAsuntos!G10)-Datos!BF10)/Datos!BF10),(('Resol  Asuntos'!D10/NºAsuntos!G10)-Datos!BF10)/Datos!BF10," - ")</f>
        <v>1.0454545454545454</v>
      </c>
      <c r="K10" s="522">
        <f>IF(ISNUMBER((((NºAsuntos!C10+NºAsuntos!E10)/NºAsuntos!G10)-Datos!BG10)/Datos!BG10),(((NºAsuntos!C10+NºAsuntos!E10)/NºAsuntos!G10)-Datos!BG10)/Datos!BG10," - ")</f>
        <v>-0.46969696969696967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-0.23149606299212599</v>
      </c>
      <c r="C12" s="515">
        <f>IF(ISNUMBER(
   IF(J_V="SI",(Datos!J12-Datos!T12)/Datos!T12,(Datos!J12+Datos!Z12-(Datos!T12+Datos!AH12))/(Datos!T12+Datos!AH12))
     ),IF(J_V="SI",(Datos!J12-Datos!T12)/Datos!T12,(Datos!J12+Datos!Z12-(Datos!T12+Datos!AH12))/(Datos!T12+Datos!AH12))," - ")</f>
        <v>6.6588785046728965E-2</v>
      </c>
      <c r="D12" s="515">
        <f>IF(ISNUMBER(
   IF(J_V="SI",(Datos!K12-Datos!U12)/Datos!U12,(Datos!K12+Datos!AA12-(Datos!U12+Datos!AI12))/(Datos!U12+Datos!AI12))
     ),IF(J_V="SI",(Datos!K12-Datos!U12)/Datos!U12,(Datos!K12+Datos!AA12-(Datos!U12+Datos!AI12))/(Datos!U12+Datos!AI12))," - ")</f>
        <v>1.9079685746352413E-2</v>
      </c>
      <c r="E12" s="515">
        <f>IF(ISNUMBER(
   IF(J_V="SI",(Datos!L12-Datos!V12)/Datos!V12,(Datos!L12+Datos!AB12-(Datos!V12+Datos!AJ12))/(Datos!V12+Datos!AJ12))
     ),IF(J_V="SI",(Datos!L12-Datos!V12)/Datos!V12,(Datos!L12+Datos!AB12-(Datos!V12+Datos!AJ12))/(Datos!V12+Datos!AJ12))," - ")</f>
        <v>-1.6393442622950821E-2</v>
      </c>
      <c r="F12" s="515">
        <f>IF(ISNUMBER((Datos!M12-Datos!W12)/Datos!W12),(Datos!M12-Datos!W12)/Datos!W12," - ")</f>
        <v>-7.874015748031496E-3</v>
      </c>
      <c r="G12" s="516">
        <f>IF(ISNUMBER((Datos!N12-Datos!X12)/Datos!X12),(Datos!N12-Datos!X12)/Datos!X12," - ")</f>
        <v>5.5350553505535055E-2</v>
      </c>
      <c r="H12" s="514">
        <f>IF(ISNUMBER(((NºAsuntos!G12/NºAsuntos!E12)-Datos!BD12)/Datos!BD12),((NºAsuntos!G12/NºAsuntos!E12)-Datos!BD12)/Datos!BD12," - ")</f>
        <v>-4.4543032859936882E-2</v>
      </c>
      <c r="I12" s="515">
        <f>IF(ISNUMBER(((NºAsuntos!I12/NºAsuntos!G12)-Datos!BE12)/Datos!BE12),((NºAsuntos!I12/NºAsuntos!G12)-Datos!BE12)/Datos!BE12," - ")</f>
        <v>-3.4808983895428525E-2</v>
      </c>
      <c r="J12" s="521">
        <f>IF(ISNUMBER((('Resol  Asuntos'!D12/NºAsuntos!G12)-Datos!BF12)/Datos!BF12),(('Resol  Asuntos'!D12/NºAsuntos!G12)-Datos!BF12)/Datos!BF12," - ")</f>
        <v>-8.7520522782320365E-2</v>
      </c>
      <c r="K12" s="522">
        <f>IF(ISNUMBER((((NºAsuntos!C12+NºAsuntos!E12)/NºAsuntos!G12)-Datos!BG12)/Datos!BG12),(((NºAsuntos!C12+NºAsuntos!E12)/NºAsuntos!G12)-Datos!BG12)/Datos!BG12," - ")</f>
        <v>-7.795451120821853E-2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-0.22848200312989045</v>
      </c>
      <c r="C14" s="1152">
        <f>IF(ISNUMBER(
   IF(J_V="SI",(Datos!J14-Datos!T14)/Datos!T14,(Datos!J14+Datos!Z14-(Datos!T14+Datos!AH14))/(Datos!T14+Datos!AH14))
     ),IF(J_V="SI",(Datos!J14-Datos!T14)/Datos!T14,(Datos!J14+Datos!Z14-(Datos!T14+Datos!AH14))/(Datos!T14+Datos!AH14))," - ")</f>
        <v>6.7129629629629636E-2</v>
      </c>
      <c r="D14" s="1152">
        <f>IF(ISNUMBER(
   IF(J_V="SI",(Datos!K14-Datos!U14)/Datos!U14,(Datos!K14+Datos!AA14-(Datos!U14+Datos!AI14))/(Datos!U14+Datos!AI14))
     ),IF(J_V="SI",(Datos!K14-Datos!U14)/Datos!U14,(Datos!K14+Datos!AA14-(Datos!U14+Datos!AI14))/(Datos!U14+Datos!AI14))," - ")</f>
        <v>2.5669642857142856E-2</v>
      </c>
      <c r="E14" s="1152">
        <f>IF(ISNUMBER(
   IF(J_V="SI",(Datos!L14-Datos!V14)/Datos!V14,(Datos!L14+Datos!AB14-(Datos!V14+Datos!AJ14))/(Datos!V14+Datos!AJ14))
     ),IF(J_V="SI",(Datos!L14-Datos!V14)/Datos!V14,(Datos!L14+Datos!AB14-(Datos!V14+Datos!AJ14))/(Datos!V14+Datos!AJ14))," - ")</f>
        <v>-2.0283975659229209E-2</v>
      </c>
      <c r="F14" s="1153">
        <f>IF(ISNUMBER((Datos!M14-Datos!W14)/Datos!W14),(Datos!M14-Datos!W14)/Datos!W14," - ")</f>
        <v>1.953125E-2</v>
      </c>
      <c r="G14" s="1154">
        <f>IF(ISNUMBER((Datos!N14-Datos!X14)/Datos!X14),(Datos!N14-Datos!X14)/Datos!X14," - ")</f>
        <v>5.1470588235294115E-2</v>
      </c>
      <c r="H14" s="1154">
        <f>IF(ISNUMBER(((NºAsuntos!G14/NºAsuntos!E14)-Datos!BD14)/Datos!BD14),((NºAsuntos!G14/NºAsuntos!E14)-Datos!BD14)/Datos!BD14," - ")</f>
        <v>-3.8851874806321657E-2</v>
      </c>
      <c r="I14" s="1154">
        <f>IF(ISNUMBER(((NºAsuntos!I14/NºAsuntos!G14)-Datos!BE14)/Datos!BE14),((NºAsuntos!I14/NºAsuntos!G14)-Datos!BE14)/Datos!BE14," - ")</f>
        <v>-4.4803527955026609E-2</v>
      </c>
      <c r="J14" s="1154">
        <f>IF(ISNUMBER((('Resol  Asuntos'!D14/NºAsuntos!G14)-Datos!BF14)/Datos!BF14),(('Resol  Asuntos'!D14/NºAsuntos!G14)-Datos!BF14)/Datos!BF14," - ")</f>
        <v>-6.7883150581736024E-2</v>
      </c>
      <c r="K14" s="1154">
        <f>IF(ISNUMBER((((NºAsuntos!C14+NºAsuntos!E14)/NºAsuntos!G14)-Datos!BG14)/Datos!BG14),(((NºAsuntos!C14+NºAsuntos!E14)/NºAsuntos!G14)-Datos!BG14)/Datos!BG14," - ")</f>
        <v>-8.2111439073249998E-2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-0.28873239436619719</v>
      </c>
      <c r="C17" s="515">
        <f>IF(ISNUMBER(
   IF(D_I="SI",(Datos!J17-Datos!T17)/Datos!T17,(Datos!J17+Datos!AD17-(Datos!T17+Datos!AL17))/(Datos!T17+Datos!AL17))
     ),IF(D_I="SI",(Datos!J17-Datos!T17)/Datos!T17,(Datos!J17+Datos!AD17-(Datos!T17+Datos!AL17))/(Datos!T17+Datos!AL17))," - ")</f>
        <v>-3.3986928104575161E-2</v>
      </c>
      <c r="D17" s="515">
        <f>IF(ISNUMBER(
   IF(D_I="SI",(Datos!K17-Datos!U17)/Datos!U17,(Datos!K17+Datos!AE17-(Datos!U17+Datos!AM17))/(Datos!U17+Datos!AM17))
     ),IF(D_I="SI",(Datos!K17-Datos!U17)/Datos!U17,(Datos!K17+Datos!AE17-(Datos!U17+Datos!AM17))/(Datos!U17+Datos!AM17))," - ")</f>
        <v>-8.9924160346695564E-2</v>
      </c>
      <c r="E17" s="515">
        <f>IF(ISNUMBER(
   IF(D_I="SI",(Datos!L17-Datos!V17)/Datos!V17,(Datos!L17+Datos!AF17-(Datos!V17+Datos!AN17))/(Datos!V17+Datos!AN17))
     ),IF(D_I="SI",(Datos!L17-Datos!V17)/Datos!V17,(Datos!L17+Datos!AF17-(Datos!V17+Datos!AN17))/(Datos!V17+Datos!AN17))," - ")</f>
        <v>-0.10891089108910891</v>
      </c>
      <c r="F17" s="515">
        <f>IF(ISNUMBER((Datos!M17-Datos!W17)/Datos!W17),(Datos!M17-Datos!W17)/Datos!W17," - ")</f>
        <v>4.40251572327044E-2</v>
      </c>
      <c r="G17" s="516">
        <f>IF(ISNUMBER((Datos!N17-Datos!X17)/Datos!X17),(Datos!N17-Datos!X17)/Datos!X17," - ")</f>
        <v>-0.14153132250580047</v>
      </c>
      <c r="H17" s="514">
        <f>IF(ISNUMBER(((NºAsuntos!G17/NºAsuntos!E17)-Datos!BD17)/Datos!BD17),((NºAsuntos!G17/NºAsuntos!E17)-Datos!BD17)/Datos!BD17," - ")</f>
        <v>-5.7905253944820059E-2</v>
      </c>
      <c r="I17" s="515">
        <f>IF(ISNUMBER(((NºAsuntos!I17/NºAsuntos!G17)-Datos!BE17)/Datos!BE17),((NºAsuntos!I17/NºAsuntos!G17)-Datos!BE17)/Datos!BE17," - ")</f>
        <v>-2.0862800565770747E-2</v>
      </c>
      <c r="J17" s="521">
        <f>IF(ISNUMBER((('Resol  Asuntos'!D17/NºAsuntos!G17)-Datos!BF17)/Datos!BF17),(('Resol  Asuntos'!D17/NºAsuntos!G17)-Datos!BF17)/Datos!BF17," - ")</f>
        <v>0.14718478586403116</v>
      </c>
      <c r="K17" s="522">
        <f>IF(ISNUMBER((((NºAsuntos!C17+NºAsuntos!E17)/NºAsuntos!G17)-Datos!BG17)/Datos!BG17),(((NºAsuntos!C17+NºAsuntos!E17)/NºAsuntos!G17)-Datos!BG17)/Datos!BG17," - ")</f>
        <v>-3.8656990923993342E-2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0.42465753424657532</v>
      </c>
      <c r="D18" s="515">
        <f>IF(ISNUMBER(
   IF(D_I="SI",(Datos!K18-Datos!U18)/Datos!U18,(Datos!K18+Datos!AE18-(Datos!U18+Datos!AM18))/(Datos!U18+Datos!AM18))
     ),IF(D_I="SI",(Datos!K18-Datos!U18)/Datos!U18,(Datos!K18+Datos!AE18-(Datos!U18+Datos!AM18))/(Datos!U18+Datos!AM18))," - ")</f>
        <v>0.49315068493150682</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5.5</v>
      </c>
      <c r="G18" s="516">
        <f>IF(ISNUMBER((Datos!N18-Datos!X18)/Datos!X18),(Datos!N18-Datos!X18)/Datos!X18," - ")</f>
        <v>0.69767441860465118</v>
      </c>
      <c r="H18" s="514">
        <f>IF(ISNUMBER(((NºAsuntos!G18/NºAsuntos!E18)-Datos!BD18)/Datos!BD18),((NºAsuntos!G18/NºAsuntos!E18)-Datos!BD18)/Datos!BD18," - ")</f>
        <v>4.8076923076923128E-2</v>
      </c>
      <c r="I18" s="515">
        <f>IF(ISNUMBER(((NºAsuntos!I18/NºAsuntos!G18)-Datos!BE18)/Datos!BE18),((NºAsuntos!I18/NºAsuntos!G18)-Datos!BE18)/Datos!BE18," - ")</f>
        <v>-0.41399082568807333</v>
      </c>
      <c r="J18" s="521">
        <f>IF(ISNUMBER((('Resol  Asuntos'!D18/NºAsuntos!G18)-Datos!BF18)/Datos!BF18),(('Resol  Asuntos'!D18/NºAsuntos!G18)-Datos!BF18)/Datos!BF18," - ")</f>
        <v>3.3532110091743124</v>
      </c>
      <c r="K18" s="522">
        <f>IF(ISNUMBER((((NºAsuntos!C18+NºAsuntos!E18)/NºAsuntos!G18)-Datos!BG18)/Datos!BG18),(((NºAsuntos!C18+NºAsuntos!E18)/NºAsuntos!G18)-Datos!BG18)/Datos!BG18," - ")</f>
        <v>-0.14654542502232681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-0.26394849785407726</v>
      </c>
      <c r="C23" s="1152">
        <f>IF(ISNUMBER(
   IF(Criterios!B14="SI",(Datos!J23-Datos!T23)/Datos!T23,(Datos!J23+Datos!AD23-(Datos!T23+Datos!AL23))/(Datos!T23+Datos!AL23))
     ),IF(Criterios!B14="SI",(Datos!J23-Datos!T23)/Datos!T23,(Datos!J23+Datos!AD23-(Datos!T23+Datos!AL23))/(Datos!T23+Datos!AL23))," - ")</f>
        <v>5.9665871121718375E-3</v>
      </c>
      <c r="D23" s="1152">
        <f>IF(ISNUMBER(
   IF(Criterios!B14="SI",(Datos!K23-Datos!U23)/Datos!U23,(Datos!K23+Datos!AE23-(Datos!U23+Datos!AM23))/(Datos!U23+Datos!AM23))
     ),IF(Criterios!B14="SI",(Datos!K23-Datos!U23)/Datos!U23,(Datos!K23+Datos!AE23-(Datos!U23+Datos!AM23))/(Datos!U23+Datos!AM23))," - ")</f>
        <v>-4.7188755020080318E-2</v>
      </c>
      <c r="E23" s="1152">
        <f>IF(ISNUMBER(
   IF(Criterios!B14="SI",(Datos!L23-Datos!V23)/Datos!V23,(Datos!L23+Datos!AF23-(Datos!V23+Datos!AN23))/(Datos!V23+Datos!AN23))
     ),IF(Criterios!B14="SI",(Datos!L23-Datos!V23)/Datos!V23,(Datos!L23+Datos!AF23-(Datos!V23+Datos!AN23))/(Datos!V23+Datos!AN23))," - ")</f>
        <v>-0.11078717201166181</v>
      </c>
      <c r="F23" s="1153">
        <f>IF(ISNUMBER((Datos!M23-Datos!W23)/Datos!W23),(Datos!M23-Datos!W23)/Datos!W23," - ")</f>
        <v>0.11180124223602485</v>
      </c>
      <c r="G23" s="1154">
        <f>IF(ISNUMBER((Datos!N23-Datos!X23)/Datos!X23),(Datos!N23-Datos!X23)/Datos!X23," - ")</f>
        <v>-6.5400843881856546E-2</v>
      </c>
      <c r="H23" s="1154">
        <f>IF(ISNUMBER(((NºAsuntos!G23/NºAsuntos!E23)-Datos!BD23)/Datos!BD23),((NºAsuntos!G23/NºAsuntos!E23)-Datos!BD23)/Datos!BD23," - ")</f>
        <v>-5.2840067267885295E-2</v>
      </c>
      <c r="I23" s="1154">
        <f>IF(ISNUMBER(((NºAsuntos!I23/NºAsuntos!G23)-Datos!BE23)/Datos!BE23),((NºAsuntos!I23/NºAsuntos!G23)-Datos!BE23)/Datos!BE23," - ")</f>
        <v>-6.674818053067981E-2</v>
      </c>
      <c r="J23" s="1154">
        <f>IF(ISNUMBER((('Resol  Asuntos'!D23/NºAsuntos!G23)-Datos!BF23)/Datos!BF23),(('Resol  Asuntos'!D23/NºAsuntos!G23)-Datos!BF23)/Datos!BF23," - ")</f>
        <v>0.16686410670925256</v>
      </c>
      <c r="K23" s="1154">
        <f>IF(ISNUMBER((((NºAsuntos!C23+NºAsuntos!E23)/NºAsuntos!G23)-Datos!BG23)/Datos!BG23),(((NºAsuntos!C23+NºAsuntos!E23)/NºAsuntos!G23)-Datos!BG23)/Datos!BG23," - ")</f>
        <v>-4.5446611544602979E-2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-0.24343891402714932</v>
      </c>
      <c r="C31" s="1092">
        <f>IF(ISNUMBER(
   IF(J_V="SI",(Datos!J31-Datos!T31)/Datos!T31,(Datos!J31+Datos!Z31-(Datos!T31+Datos!AH31))/(Datos!T31+Datos!AH31))
     ),IF(J_V="SI",(Datos!J31-Datos!T31)/Datos!T31,(Datos!J31+Datos!Z31-(Datos!T31+Datos!AH31))/(Datos!T31+Datos!AH31))," - ")</f>
        <v>3.7015276145710929E-2</v>
      </c>
      <c r="D31" s="1092">
        <f>IF(ISNUMBER(
   IF(J_V="SI",(Datos!K31-Datos!U31)/Datos!U31,(Datos!K31+Datos!AA31-(Datos!U31+Datos!AI31))/(Datos!U31+Datos!AI31))
     ),IF(J_V="SI",(Datos!K31-Datos!U31)/Datos!U31,(Datos!K31+Datos!AA31-(Datos!U31+Datos!AI31))/(Datos!U31+Datos!AI31))," - ")</f>
        <v>-1.2684989429175475E-2</v>
      </c>
      <c r="E31" s="1092">
        <f>IF(ISNUMBER(
   IF(J_V="SI",(Datos!L31-Datos!V31)/Datos!V31,(Datos!L31+Datos!AB31-(Datos!V31+Datos!AJ31))/(Datos!V31+Datos!AJ31))
     ),IF(J_V="SI",(Datos!L31-Datos!V31)/Datos!V31,(Datos!L31+Datos!AB31-(Datos!V31+Datos!AJ31))/(Datos!V31+Datos!AJ31))," - ")</f>
        <v>-5.7416267942583733E-2</v>
      </c>
      <c r="F31" s="1093">
        <f>IF(ISNUMBER((Datos!M31-Datos!W31)/Datos!W31),(Datos!M31-Datos!W31)/Datos!W31," - ")</f>
        <v>5.5155875299760189E-2</v>
      </c>
      <c r="G31" s="1094">
        <f>IF(ISNUMBER((Datos!N31-Datos!X31)/Datos!X31),(Datos!N31-Datos!X31)/Datos!X31," - ")</f>
        <v>-2.2788203753351208E-2</v>
      </c>
      <c r="H31" s="1095">
        <f>IF(ISNUMBER((Tasas!B31-Datos!BD31)/Datos!BD31),(Tasas!B31-Datos!BD31)/Datos!BD31," - ")</f>
        <v>-4.7926261761165323E-2</v>
      </c>
      <c r="I31" s="1096">
        <f>IF(ISNUMBER((Tasas!C31-Datos!BE31)/Datos!BE31),(Tasas!C31-Datos!BE31)/Datos!BE31," - ")</f>
        <v>-4.5305984447199341E-2</v>
      </c>
      <c r="J31" s="1097">
        <f>IF(ISNUMBER((Tasas!D31-Datos!BF31)/Datos!BF31),(Tasas!D31-Datos!BF31)/Datos!BF31," - ")</f>
        <v>2.6850472177542762E-2</v>
      </c>
      <c r="K31" s="1097">
        <f>IF(ISNUMBER((Tasas!E31-Datos!BG31)/Datos!BG31),(Tasas!E31-Datos!BG31)/Datos!BG31," - ")</f>
        <v>-6.1482878914674244E-2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fI/HOH6ULAwXAQ6MOhmp2yJpiGN02YvFxwO9+/5B7f2GZbdlFOaF/dcbpVIleZbJfYWdWF12mNed8eR3bm8g==" saltValue="1ZWvkcHDGEreJEl9Z2VB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VERIN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1.2222222222222223</v>
      </c>
      <c r="C10" s="498">
        <f>IF(ISNUMBER(NºAsuntos!I10/NºAsuntos!G10),NºAsuntos!I10/NºAsuntos!G10," - ")</f>
        <v>0.27272727272727271</v>
      </c>
      <c r="D10" s="499">
        <f>IF(ISNUMBER('Resol  Asuntos'!D10/NºAsuntos!G10),'Resol  Asuntos'!D10/NºAsuntos!G10," - ")</f>
        <v>0.81818181818181823</v>
      </c>
      <c r="E10" s="500">
        <f>IF(ISNUMBER((NºAsuntos!C10+NºAsuntos!E10)/NºAsuntos!G10),(NºAsuntos!C10+NºAsuntos!E10)/NºAsuntos!G10," - ")</f>
        <v>1.2727272727272727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0.99452354874041626</v>
      </c>
      <c r="C12" s="498">
        <f>IF(ISNUMBER(NºAsuntos!I12/NºAsuntos!G12),NºAsuntos!I12/NºAsuntos!G12," - ")</f>
        <v>0.52863436123348018</v>
      </c>
      <c r="D12" s="499">
        <f>IF(ISNUMBER('Resol  Asuntos'!D12/NºAsuntos!G12),'Resol  Asuntos'!D12/NºAsuntos!G12," - ")</f>
        <v>0.27753303964757708</v>
      </c>
      <c r="E12" s="500">
        <f>IF(ISNUMBER((NºAsuntos!C12+NºAsuntos!E12)/NºAsuntos!G12),(NºAsuntos!C12+NºAsuntos!E12)/NºAsuntos!G12," - ")</f>
        <v>1.5429515418502202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0.99674620390455526</v>
      </c>
      <c r="C14" s="1156">
        <f>IF(ISNUMBER(NºAsuntos!I14/NºAsuntos!G14),NºAsuntos!I14/NºAsuntos!G14," - ")</f>
        <v>0.5255712731229597</v>
      </c>
      <c r="D14" s="1157">
        <f>IF(ISNUMBER('Resol  Asuntos'!D14/NºAsuntos!G14),'Resol  Asuntos'!D14/NºAsuntos!G14," - ")</f>
        <v>0.2840043525571273</v>
      </c>
      <c r="E14" s="1158">
        <f>IF(ISNUMBER((NºAsuntos!C14+NºAsuntos!E14)/NºAsuntos!G14),(NºAsuntos!C14+NºAsuntos!E14)/NºAsuntos!G14," - ")</f>
        <v>1.5397170837867247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1.1366711772665765</v>
      </c>
      <c r="C17" s="498">
        <f>IF(ISNUMBER(NºAsuntos!I17/NºAsuntos!G17),NºAsuntos!I17/NºAsuntos!G17," - ")</f>
        <v>0.32142857142857145</v>
      </c>
      <c r="D17" s="499">
        <f>IF(ISNUMBER('Resol  Asuntos'!D17/NºAsuntos!G17),'Resol  Asuntos'!D17/NºAsuntos!G17," - ")</f>
        <v>0.19761904761904761</v>
      </c>
      <c r="E17" s="500">
        <f>IF(ISNUMBER((NºAsuntos!C17+NºAsuntos!E17)/NºAsuntos!G17),(NºAsuntos!C17+NºAsuntos!E17)/NºAsuntos!G17," - ")</f>
        <v>1.2404761904761905</v>
      </c>
      <c r="G17" s="523"/>
    </row>
    <row r="18" spans="1:7">
      <c r="A18" s="450" t="str">
        <f>Datos!A18</f>
        <v>Jdos. Violencia contra la mujer</v>
      </c>
      <c r="B18" s="497">
        <f>IF(ISNUMBER(NºAsuntos!G18/NºAsuntos!E18),NºAsuntos!G18/NºAsuntos!E18," - ")</f>
        <v>1.0480769230769231</v>
      </c>
      <c r="C18" s="498">
        <f>IF(ISNUMBER(NºAsuntos!I18/NºAsuntos!G18),NºAsuntos!I18/NºAsuntos!G18," - ")</f>
        <v>0.32110091743119268</v>
      </c>
      <c r="D18" s="499">
        <f>IF(ISNUMBER('Resol  Asuntos'!D18/NºAsuntos!G18),'Resol  Asuntos'!D18/NºAsuntos!G18," - ")</f>
        <v>0.11926605504587157</v>
      </c>
      <c r="E18" s="500">
        <f>IF(ISNUMBER((NºAsuntos!C18+NºAsuntos!E18)/NºAsuntos!G18),(NºAsuntos!C18+NºAsuntos!E18)/NºAsuntos!G18," - ")</f>
        <v>1.3211009174311927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1.1257413997627521</v>
      </c>
      <c r="C23" s="1156">
        <f>IF(ISNUMBER(NºAsuntos!I23/NºAsuntos!G23),NºAsuntos!I23/NºAsuntos!G23," - ")</f>
        <v>0.32139093782929401</v>
      </c>
      <c r="D23" s="1159">
        <f>IF(ISNUMBER('Resol  Asuntos'!D23/NºAsuntos!G23),'Resol  Asuntos'!D23/NºAsuntos!G23," - ")</f>
        <v>0.18861959957850369</v>
      </c>
      <c r="E23" s="1158">
        <f>IF(ISNUMBER((NºAsuntos!C23+NºAsuntos!E23)/NºAsuntos!G23),(NºAsuntos!C23+NºAsuntos!E23)/NºAsuntos!G23," - ")</f>
        <v>1.249736564805058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1.0583569405099149</v>
      </c>
      <c r="C31" s="1099">
        <f>IF(ISNUMBER(NºAsuntos!I31/NºAsuntos!G31),NºAsuntos!I31/NºAsuntos!G31," - ")</f>
        <v>0.42184154175588867</v>
      </c>
      <c r="D31" s="1100">
        <f>IF(ISNUMBER('Resol  Asuntos'!D31/NºAsuntos!G31),'Resol  Asuntos'!D31/NºAsuntos!G31," - ")</f>
        <v>0.23554603854389722</v>
      </c>
      <c r="E31" s="1101">
        <f>IF(ISNUMBER((NºAsuntos!C31+NºAsuntos!E31)/NºAsuntos!G31),(NºAsuntos!C31+NºAsuntos!E31)/NºAsuntos!G31," - ")</f>
        <v>1.3923982869379015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zPi8edt1tik9e7McojY8LT/YmF94UEmgXpffVrJdptziUC6Y3+xB+p+AzFK7+W3BMS6xR4/Wvg/dUH3qJTKUw==" saltValue="5zSJgR2zh9KSC0UlQp72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VERIN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1.2222222222222223</v>
      </c>
      <c r="AM10" s="284">
        <f>IF(ISNUMBER(((NºAsuntos!I10/NºAsuntos!G10)*11)/factor_trimestre),((NºAsuntos!I10/NºAsuntos!G10)*11)/factor_trimestre," - ")</f>
        <v>3</v>
      </c>
      <c r="AN10" s="267">
        <f>IF(ISNUMBER('Resol  Asuntos'!D10/NºAsuntos!G10),'Resol  Asuntos'!D10/NºAsuntos!G10," - ")</f>
        <v>0.81818181818181823</v>
      </c>
      <c r="AO10" s="268">
        <f>IF(ISNUMBER((NºAsuntos!C10+NºAsuntos!E10)/NºAsuntos!G10),(NºAsuntos!C10+NºAsuntos!E10)/NºAsuntos!G10," - ")</f>
        <v>1.2727272727272727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100</v>
      </c>
      <c r="Y12" s="374">
        <f t="shared" si="0"/>
        <v>100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252</v>
      </c>
      <c r="AJ12" s="243" t="str">
        <f>IF(ISNUMBER(Datos!BW12),Datos!BW12," - ")</f>
        <v xml:space="preserve"> - </v>
      </c>
      <c r="AK12" s="242" t="str">
        <f>IF(ISNUMBER(Datos!BX12),Datos!BX12," - ")</f>
        <v xml:space="preserve"> - </v>
      </c>
      <c r="AL12" s="266">
        <f>IF(ISNUMBER(NºAsuntos!G12/NºAsuntos!E12),NºAsuntos!G12/NºAsuntos!E12," - ")</f>
        <v>0.99452354874041626</v>
      </c>
      <c r="AM12" s="284">
        <f>IF(ISNUMBER(((NºAsuntos!I12/NºAsuntos!G12)*11)/factor_trimestre),((NºAsuntos!I12/NºAsuntos!G12)*11)/factor_trimestre," - ")</f>
        <v>5.8149779735682818</v>
      </c>
      <c r="AN12" s="267">
        <f>IF(ISNUMBER('Resol  Asuntos'!D12/NºAsuntos!G12),'Resol  Asuntos'!D12/NºAsuntos!G12," - ")</f>
        <v>0.27753303964757708</v>
      </c>
      <c r="AO12" s="268">
        <f>IF(ISNUMBER((NºAsuntos!C12+NºAsuntos!E12)/NºAsuntos!G12),(NºAsuntos!C12+NºAsuntos!E12)/NºAsuntos!G12," - ")</f>
        <v>1.5429515418502202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227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100</v>
      </c>
      <c r="Y14" s="1165">
        <f t="shared" si="6"/>
        <v>111</v>
      </c>
      <c r="Z14" s="1165">
        <f t="shared" si="6"/>
        <v>0</v>
      </c>
      <c r="AA14" s="1165">
        <f t="shared" si="6"/>
        <v>3</v>
      </c>
      <c r="AB14" s="1165">
        <f t="shared" si="6"/>
        <v>883</v>
      </c>
      <c r="AC14" s="1165">
        <f t="shared" si="6"/>
        <v>4</v>
      </c>
      <c r="AD14" s="1165">
        <f t="shared" si="6"/>
        <v>0</v>
      </c>
      <c r="AE14" s="1169">
        <f t="shared" si="6"/>
        <v>0</v>
      </c>
      <c r="AF14" s="1162">
        <f t="shared" si="6"/>
        <v>0</v>
      </c>
      <c r="AG14" s="1170">
        <f t="shared" si="6"/>
        <v>0</v>
      </c>
      <c r="AH14" s="1167">
        <f t="shared" si="6"/>
        <v>0</v>
      </c>
      <c r="AI14" s="1162">
        <f t="shared" si="6"/>
        <v>261</v>
      </c>
      <c r="AJ14" s="1164">
        <f t="shared" si="6"/>
        <v>0</v>
      </c>
      <c r="AK14" s="1167">
        <f>SUBTOTAL(9,AK9:AK13)</f>
        <v>0</v>
      </c>
      <c r="AL14" s="1171">
        <f>IF(ISNUMBER(NºAsuntos!G14/NºAsuntos!E14),NºAsuntos!G14/NºAsuntos!E14," - ")</f>
        <v>0.99674620390455526</v>
      </c>
      <c r="AM14" s="1171">
        <f>IF(ISNUMBER(((NºAsuntos!I14/NºAsuntos!G14)*11)/factor_trimestre),((NºAsuntos!I14/NºAsuntos!G14)*11)/factor_trimestre," - ")</f>
        <v>5.7812840043525568</v>
      </c>
      <c r="AN14" s="1172">
        <f>IF(ISNUMBER('Resol  Asuntos'!D14/NºAsuntos!G14),'Resol  Asuntos'!D14/NºAsuntos!G14," - ")</f>
        <v>0.2840043525571273</v>
      </c>
      <c r="AO14" s="1173">
        <f>IF(ISNUMBER((NºAsuntos!C14+NºAsuntos!E14)/NºAsuntos!G14),(NºAsuntos!C14+NºAsuntos!E14)/NºAsuntos!G14," - ")</f>
        <v>1.5397170837867247</v>
      </c>
      <c r="AP14" s="1174" t="str">
        <f t="shared" si="2"/>
        <v xml:space="preserve"> - </v>
      </c>
      <c r="AQ14" s="1174">
        <f>IF(ISNUMBER((H14-W14+K14)/(F14)),(H14-W14+K14)/(F14)," - ")</f>
        <v>-2.2000000000000002</v>
      </c>
      <c r="AR14" s="1175">
        <f>IF(ISNUMBER((Datos!P14-Datos!Q14)/(Datos!R14-Datos!P14+Datos!Q14)),(Datos!P14-Datos!Q14)/(Datos!R14-Datos!P14+Datos!Q14)," - ")</f>
        <v>0.16798941798941799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371</v>
      </c>
      <c r="G17" s="373">
        <f>IF(ISNUMBER(IF(D_I="SI",Datos!I17,Datos!I17+Datos!AC17)),IF(D_I="SI",Datos!I17,Datos!I17+Datos!AC17)," - ")</f>
        <v>303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840</v>
      </c>
      <c r="X17" s="240">
        <f>IF(ISNUMBER(Datos!Q17),Datos!Q17," - ")</f>
        <v>23</v>
      </c>
      <c r="Y17" s="374">
        <f t="shared" ref="Y17:Y22" si="9">SUM(W17:X17)</f>
        <v>863</v>
      </c>
      <c r="Z17" s="375" t="str">
        <f>IF(ISNUMBER(Datos!CC17),Datos!CC17," - ")</f>
        <v xml:space="preserve"> - </v>
      </c>
      <c r="AA17" s="372">
        <f>IF(ISNUMBER(IF(D_I="SI",Datos!L17,Datos!L17+Datos!AF17)),IF(D_I="SI",Datos!L17,Datos!L17+Datos!AF17)," - ")</f>
        <v>270</v>
      </c>
      <c r="AB17" s="374">
        <f>IF(ISNUMBER(Datos!R17),Datos!R17," - ")</f>
        <v>32</v>
      </c>
      <c r="AC17" s="374">
        <f t="shared" si="8"/>
        <v>302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166</v>
      </c>
      <c r="AJ17" s="245" t="str">
        <f>IF(ISNUMBER(Datos!BW17),Datos!BW17," - ")</f>
        <v xml:space="preserve"> - </v>
      </c>
      <c r="AK17" s="246" t="str">
        <f>IF(ISNUMBER(Datos!BX17),Datos!BX17," - ")</f>
        <v xml:space="preserve"> - </v>
      </c>
      <c r="AL17" s="266">
        <f>IF(ISNUMBER(NºAsuntos!G17/NºAsuntos!E17),NºAsuntos!G17/NºAsuntos!E17," - ")</f>
        <v>1.1366711772665765</v>
      </c>
      <c r="AM17" s="284">
        <f>IF(ISNUMBER(((NºAsuntos!I17/NºAsuntos!G17)*11)/factor_trimestre),((NºAsuntos!I17/NºAsuntos!G17)*11)/factor_trimestre," - ")</f>
        <v>3.535714285714286</v>
      </c>
      <c r="AN17" s="267">
        <f>IF(ISNUMBER('Resol  Asuntos'!D17/NºAsuntos!G17),'Resol  Asuntos'!D17/NºAsuntos!G17," - ")</f>
        <v>0.19761904761904761</v>
      </c>
      <c r="AO17" s="268">
        <f>IF(ISNUMBER((NºAsuntos!C17+NºAsuntos!E17)/NºAsuntos!G17),(NºAsuntos!C17+NºAsuntos!E17)/NºAsuntos!G17," - ")</f>
        <v>1.2404761904761905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109</v>
      </c>
      <c r="X18" s="240">
        <f>IF(ISNUMBER(Datos!Q18),Datos!Q18," - ")</f>
        <v>0</v>
      </c>
      <c r="Y18" s="374">
        <f t="shared" si="9"/>
        <v>109</v>
      </c>
      <c r="Z18" s="375" t="str">
        <f>IF(ISNUMBER(Datos!CC18),Datos!CC18," - ")</f>
        <v xml:space="preserve"> - </v>
      </c>
      <c r="AA18" s="372">
        <f>IF(ISNUMBER(Datos!L18),Datos!L18,"-")</f>
        <v>35</v>
      </c>
      <c r="AB18" s="374">
        <f>IF(ISNUMBER(Datos!R18),Datos!R18," - ")</f>
        <v>2</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1.0480769230769231</v>
      </c>
      <c r="AM18" s="284">
        <f>IF(ISNUMBER(((NºAsuntos!I18/NºAsuntos!G18)*11)/factor_trimestre),((NºAsuntos!I18/NºAsuntos!G18)*11)/factor_trimestre," - ")</f>
        <v>3.5321100917431196</v>
      </c>
      <c r="AN18" s="267">
        <f>IF(ISNUMBER('Resol  Asuntos'!D18/NºAsuntos!G18),'Resol  Asuntos'!D18/NºAsuntos!G18," - ")</f>
        <v>0.11926605504587157</v>
      </c>
      <c r="AO18" s="268">
        <f>IF(ISNUMBER((NºAsuntos!C18+NºAsuntos!E18)/NºAsuntos!G18),(NºAsuntos!C18+NºAsuntos!E18)/NºAsuntos!G18," - ")</f>
        <v>1.3211009174311927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371</v>
      </c>
      <c r="G23" s="1163">
        <f>SUBTOTAL(9,G16:G22)</f>
        <v>343</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949</v>
      </c>
      <c r="X23" s="1164">
        <f t="shared" si="14"/>
        <v>23</v>
      </c>
      <c r="Y23" s="1165">
        <f t="shared" si="14"/>
        <v>972</v>
      </c>
      <c r="Z23" s="1165">
        <f t="shared" si="14"/>
        <v>0</v>
      </c>
      <c r="AA23" s="1165">
        <f t="shared" si="14"/>
        <v>305</v>
      </c>
      <c r="AB23" s="1165">
        <f t="shared" si="14"/>
        <v>34</v>
      </c>
      <c r="AC23" s="1165">
        <f t="shared" si="14"/>
        <v>339</v>
      </c>
      <c r="AD23" s="1165">
        <f t="shared" si="14"/>
        <v>0</v>
      </c>
      <c r="AE23" s="1169">
        <f t="shared" si="14"/>
        <v>0</v>
      </c>
      <c r="AF23" s="1162">
        <f t="shared" si="14"/>
        <v>0</v>
      </c>
      <c r="AG23" s="1170">
        <f t="shared" si="14"/>
        <v>0</v>
      </c>
      <c r="AH23" s="1167">
        <f t="shared" si="14"/>
        <v>0</v>
      </c>
      <c r="AI23" s="1162">
        <f t="shared" si="14"/>
        <v>179</v>
      </c>
      <c r="AJ23" s="1164">
        <f t="shared" si="14"/>
        <v>0</v>
      </c>
      <c r="AK23" s="1167">
        <f t="shared" si="14"/>
        <v>0</v>
      </c>
      <c r="AL23" s="1171">
        <f>IF(ISNUMBER(NºAsuntos!G23/NºAsuntos!E23),NºAsuntos!G23/NºAsuntos!E23," - ")</f>
        <v>1.1257413997627521</v>
      </c>
      <c r="AM23" s="1171">
        <f>IF(ISNUMBER(((NºAsuntos!I23/NºAsuntos!G23)*11)/factor_trimestre),((NºAsuntos!I23/NºAsuntos!G23)*11)/factor_trimestre," - ")</f>
        <v>3.5353003161222341</v>
      </c>
      <c r="AN23" s="1172">
        <f>IF(ISNUMBER('Resol  Asuntos'!D23/NºAsuntos!G23),'Resol  Asuntos'!D23/NºAsuntos!G23," - ")</f>
        <v>0.18861959957850369</v>
      </c>
      <c r="AO23" s="1173">
        <f>IF(ISNUMBER((NºAsuntos!C23+NºAsuntos!E23)/NºAsuntos!G23),(NºAsuntos!C23+NºAsuntos!E23)/NºAsuntos!G23," - ")</f>
        <v>1.249736564805058</v>
      </c>
      <c r="AP23" s="1174" t="str">
        <f t="shared" si="2"/>
        <v xml:space="preserve"> - </v>
      </c>
      <c r="AQ23" s="1174">
        <f>IF(ISNUMBER((H23-W23+K23)/(F23)),(H23-W23+K23)/(F23)," - ")</f>
        <v>-2.5579514824797842</v>
      </c>
      <c r="AR23" s="1175">
        <f>IF(ISNUMBER((Datos!P23-Datos!Q23)/(Datos!R23-Datos!P23+Datos!Q23)),(Datos!P23-Datos!Q23)/(Datos!R23-Datos!P23+Datos!Q23)," - ")</f>
        <v>0.47826086956521741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376</v>
      </c>
      <c r="G31" s="1118">
        <f t="shared" si="20"/>
        <v>348</v>
      </c>
      <c r="H31" s="1117">
        <f t="shared" si="20"/>
        <v>0</v>
      </c>
      <c r="I31" s="1119">
        <f t="shared" si="20"/>
        <v>0</v>
      </c>
      <c r="J31" s="1119">
        <f t="shared" si="20"/>
        <v>0</v>
      </c>
      <c r="K31" s="1180">
        <f t="shared" si="20"/>
        <v>0</v>
      </c>
      <c r="L31" s="1119">
        <f t="shared" si="20"/>
        <v>261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960</v>
      </c>
      <c r="X31" s="1118">
        <f t="shared" si="21"/>
        <v>123</v>
      </c>
      <c r="Y31" s="1125">
        <f t="shared" si="21"/>
        <v>1083</v>
      </c>
      <c r="Z31" s="1125">
        <f t="shared" si="21"/>
        <v>0</v>
      </c>
      <c r="AA31" s="1125">
        <f t="shared" si="21"/>
        <v>308</v>
      </c>
      <c r="AB31" s="1125">
        <f t="shared" si="21"/>
        <v>917</v>
      </c>
      <c r="AC31" s="1125">
        <f t="shared" si="21"/>
        <v>343</v>
      </c>
      <c r="AD31" s="1125">
        <f t="shared" si="21"/>
        <v>0</v>
      </c>
      <c r="AE31" s="1127">
        <f t="shared" si="21"/>
        <v>0</v>
      </c>
      <c r="AF31" s="1128">
        <f t="shared" si="21"/>
        <v>0</v>
      </c>
      <c r="AG31" s="1129">
        <f t="shared" si="21"/>
        <v>0</v>
      </c>
      <c r="AH31" s="1127">
        <f t="shared" si="21"/>
        <v>0</v>
      </c>
      <c r="AI31" s="1117">
        <f t="shared" si="21"/>
        <v>440</v>
      </c>
      <c r="AJ31" s="1117">
        <f t="shared" si="21"/>
        <v>0</v>
      </c>
      <c r="AK31" s="1127">
        <f t="shared" si="21"/>
        <v>0</v>
      </c>
      <c r="AL31" s="1183">
        <f>IF(ISNUMBER(NºAsuntos!G31/NºAsuntos!E31),NºAsuntos!G31/NºAsuntos!E31," - ")</f>
        <v>1.0583569405099149</v>
      </c>
      <c r="AM31" s="1184">
        <f>IF(ISNUMBER(((NºAsuntos!I31/NºAsuntos!G31)*11)/factor_trimestre),((NºAsuntos!I31/NºAsuntos!G31)*11)/factor_trimestre," - ")</f>
        <v>4.6402569593147751</v>
      </c>
      <c r="AN31" s="1184">
        <f>IF(ISNUMBER('Resol  Asuntos'!D31/NºAsuntos!G31),'Resol  Asuntos'!D31/NºAsuntos!G31," - ")</f>
        <v>0.23554603854389722</v>
      </c>
      <c r="AO31" s="1185">
        <f>IF(ISNUMBER((NºAsuntos!C31+NºAsuntos!E31)/NºAsuntos!G31),(NºAsuntos!C31+NºAsuntos!E31)/NºAsuntos!G31," - ")</f>
        <v>1.3923982869379015</v>
      </c>
      <c r="AP31" s="1186" t="str">
        <f t="shared" si="2"/>
        <v xml:space="preserve"> - </v>
      </c>
      <c r="AQ31" s="1187">
        <f>IF(OR(ISNUMBER(FIND("01",Criterios!A8,1)),ISNUMBER(FIND("02",Criterios!A8,1)),ISNUMBER(FIND("03",Criterios!A8,1)),ISNUMBER(FIND("04",Criterios!A8,1))),(I31-W31+K31)/(F31-K31),(H31-W31+K31)/(F31-K31))</f>
        <v>-2.5531914893617023</v>
      </c>
      <c r="AR31" s="1188">
        <f>IF(ISNUMBER((Datos!P31-Datos!Q31)/(Datos!R31-Datos!P31+Datos!Q31)),(Datos!P31-Datos!Q31)/(Datos!R31-Datos!P31+Datos!Q31)," - ")</f>
        <v>0.17715019255455713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190.30571895417822</v>
      </c>
      <c r="G33" s="277">
        <f>IF(ISNUMBER(STDEV(G8:G30)),STDEV(G8:G30),"-")</f>
        <v>153.78866141868971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426.55508213504868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116.29519090904589</v>
      </c>
      <c r="AJ33" s="276">
        <f t="shared" si="25"/>
        <v>0</v>
      </c>
      <c r="AK33" s="278">
        <f t="shared" si="25"/>
        <v>0</v>
      </c>
      <c r="AL33" s="273">
        <f t="shared" si="25"/>
        <v>8.9961285650951087E-2</v>
      </c>
      <c r="AM33" s="274">
        <f t="shared" si="25"/>
        <v>1.255212412648895</v>
      </c>
      <c r="AN33" s="274">
        <f t="shared" si="25"/>
        <v>0.25440704172329115</v>
      </c>
      <c r="AO33" s="275">
        <f t="shared" si="25"/>
        <v>0.14236265489743191</v>
      </c>
      <c r="AP33" s="317" t="str">
        <f t="shared" si="25"/>
        <v>-</v>
      </c>
      <c r="AQ33" s="318">
        <f t="shared" si="25"/>
        <v>0.25310992059723297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9SImHQBAu3NG/lJzsNAzw9tpCuAD8F4UNlqIVGOIaU/TZYdq+fAow/HXk9J8rtcwugdYKqOCi0pRdB597o5I8Q==" saltValue="9FpGw0fA0cYR6+84zbWy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VERIN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0.125</v>
      </c>
      <c r="F10" s="393">
        <f>IF(ISNUMBER((Datos!K10-Datos!U10)/Datos!U10),(Datos!K10-Datos!U10)/Datos!U10," - ")</f>
        <v>1.2</v>
      </c>
      <c r="G10" s="394">
        <f>IF(ISNUMBER((Datos!L10-Datos!V10)/Datos!V10),(Datos!L10-Datos!V10)/Datos!V10," - ")</f>
        <v>-0.4</v>
      </c>
      <c r="H10" s="244">
        <f>IF(ISNUMBER((Datos!M10-Datos!W10)/Datos!W10),(Datos!M10-Datos!W10)/Datos!W10," - ")</f>
        <v>3.5</v>
      </c>
      <c r="I10" s="395">
        <f>IF(ISNUMBER((Tasas!C10-Datos!BE10)/Datos!BE10),(Tasas!C10-Datos!BE10)/Datos!BE10," - ")</f>
        <v>-0.72727272727272729</v>
      </c>
      <c r="J10" s="394">
        <f>IF(ISNUMBER((Tasas!D10-Datos!BF10)/Datos!BF10),(Tasas!D10-Datos!BF10)/Datos!BF10," - ")</f>
        <v>1.0454545454545454</v>
      </c>
      <c r="K10" s="396">
        <f>IF(ISNUMBER((Tasas!E10-Datos!BG10)/Datos!BG10),(Tasas!E10-Datos!BG10)/Datos!BG10," - ")</f>
        <v>-0.46969696969696967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-7.874015748031496E-3</v>
      </c>
      <c r="I12" s="395">
        <f>IF(ISNUMBER((Tasas!C12-Datos!BE12)/Datos!BE12),(Tasas!C12-Datos!BE12)/Datos!BE12," - ")</f>
        <v>-3.4808983895428525E-2</v>
      </c>
      <c r="J12" s="394">
        <f>IF(ISNUMBER((Tasas!D12-Datos!BF12)/Datos!BF12),(Tasas!D12-Datos!BF12)/Datos!BF12," - ")</f>
        <v>-8.7520522782320365E-2</v>
      </c>
      <c r="K12" s="396">
        <f>IF(ISNUMBER((Tasas!E12-Datos!BG12)/Datos!BG12),(Tasas!E12-Datos!BG12)/Datos!BG12," - ")</f>
        <v>-7.795451120821853E-2</v>
      </c>
      <c r="M12" t="e">
        <f>IF(Monitorios="SI",Datos!CE12,0)</f>
        <v>#REF!</v>
      </c>
      <c r="N12" t="e">
        <f>IF(Monitorios="SI",Datos!CF12,0)</f>
        <v>#REF!</v>
      </c>
      <c r="O12" t="e">
        <f>IF(Monitorios="SI",Datos!CG12,0)</f>
        <v>#REF!</v>
      </c>
      <c r="P12" t="e">
        <f>IF(Monitorios="SI",Datos!CH12,0)</f>
        <v>#REF!</v>
      </c>
      <c r="Q12">
        <f>IF(J_V="SI",0,Datos!AG12)</f>
        <v>25</v>
      </c>
      <c r="R12">
        <f>IF(J_V="SI",0,Datos!AH12)</f>
        <v>150</v>
      </c>
      <c r="S12">
        <f>IF(J_V="SI",0,Datos!AI12)</f>
        <v>138</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1.953125E-2</v>
      </c>
      <c r="I14" s="402">
        <f>IF(ISNUMBER((Tasas!C14-Datos!BE14)/Datos!BE14),(Tasas!C14-Datos!BE14)/Datos!BE14," - ")</f>
        <v>-4.4803527955026609E-2</v>
      </c>
      <c r="J14" s="400">
        <f>IF(ISNUMBER((Tasas!D14-Datos!BF14)/Datos!BF14),(Tasas!D14-Datos!BF14)/Datos!BF14," - ")</f>
        <v>-6.7883150581736024E-2</v>
      </c>
      <c r="K14" s="403">
        <f>IF(ISNUMBER((Tasas!E14-Datos!BG14)/Datos!BG14),(Tasas!E14-Datos!BG14)/Datos!BG14," - ")</f>
        <v>-8.2111439073249998E-2</v>
      </c>
      <c r="M14" t="e">
        <f>IF(Monitorios="SI",Datos!CE14,0)</f>
        <v>#REF!</v>
      </c>
      <c r="N14" t="e">
        <f>IF(Monitorios="SI",Datos!CF14,0)</f>
        <v>#REF!</v>
      </c>
      <c r="O14" t="e">
        <f>IF(Monitorios="SI",Datos!CG14,0)</f>
        <v>#REF!</v>
      </c>
      <c r="P14" t="e">
        <f>IF(Monitorios="SI",Datos!CH14,0)</f>
        <v>#REF!</v>
      </c>
      <c r="Q14">
        <f>IF(J_V="SI",0,Datos!AG14)</f>
        <v>25</v>
      </c>
      <c r="R14">
        <f>IF(J_V="SI",0,Datos!AH14)</f>
        <v>150</v>
      </c>
      <c r="S14">
        <f>IF(J_V="SI",0,Datos!AI14)</f>
        <v>138</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-0.28873239436619719</v>
      </c>
      <c r="E17" s="393">
        <f>IF(ISNUMBER(
   IF(D_I="SI",(Datos!J17-Datos!T17)/Datos!T17,(Datos!J17+Datos!AD17-(Datos!T17+Datos!AL17))/(Datos!T17+Datos!AL17))
     ),IF(D_I="SI",(Datos!J17-Datos!T17)/Datos!T17,(Datos!J17+Datos!AD17-(Datos!T17+Datos!AL17))/(Datos!T17+Datos!AL17))," - ")</f>
        <v>-3.3986928104575161E-2</v>
      </c>
      <c r="F17" s="393">
        <f>IF(ISNUMBER(
   IF(D_I="SI",(Datos!K17-Datos!U17)/Datos!U17,(Datos!K17+Datos!AE17-(Datos!U17+Datos!AM17))/(Datos!U17+Datos!AM17))
     ),IF(D_I="SI",(Datos!K17-Datos!U17)/Datos!U17,(Datos!K17+Datos!AE17-(Datos!U17+Datos!AM17))/(Datos!U17+Datos!AM17))," - ")</f>
        <v>-8.9924160346695564E-2</v>
      </c>
      <c r="G17" s="394">
        <f>IF(ISNUMBER(
   IF(D_I="SI",(Datos!L17-Datos!V17)/Datos!V17,(Datos!L17+Datos!AF17-(Datos!V17+Datos!AN17))/(Datos!V17+Datos!AN17))
     ),IF(D_I="SI",(Datos!L17-Datos!V17)/Datos!V17,(Datos!L17+Datos!AF17-(Datos!V17+Datos!AN17))/(Datos!V17+Datos!AN17))," - ")</f>
        <v>-0.10891089108910891</v>
      </c>
      <c r="H17" s="244">
        <f>IF(ISNUMBER((Datos!M17-Datos!W17)/Datos!W17),(Datos!M17-Datos!W17)/Datos!W17," - ")</f>
        <v>4.40251572327044E-2</v>
      </c>
      <c r="I17" s="395">
        <f>IF(ISNUMBER((Tasas!C17-Datos!BE17)/Datos!BE17),(Tasas!C17-Datos!BE17)/Datos!BE17," - ")</f>
        <v>-2.0862800565770747E-2</v>
      </c>
      <c r="J17" s="394">
        <f>IF(ISNUMBER((Tasas!D17-Datos!BF17)/Datos!BF17),(Tasas!D17-Datos!BF17)/Datos!BF17," - ")</f>
        <v>0.14718478586403116</v>
      </c>
      <c r="K17" s="396">
        <f>IF(ISNUMBER((Tasas!E17-Datos!BG17)/Datos!BG17),(Tasas!E17-Datos!BG17)/Datos!BG17," - ")</f>
        <v>-3.8656990923993342E-2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0.42465753424657532</v>
      </c>
      <c r="F18" s="393">
        <f>IF(ISNUMBER(
   IF(D_I="SI",(Datos!K18-Datos!U18)/Datos!U18,(Datos!K18+Datos!AE18-(Datos!U18+Datos!AM18))/(Datos!U18+Datos!AM18))
     ),IF(D_I="SI",(Datos!K18-Datos!U18)/Datos!U18,(Datos!K18+Datos!AE18-(Datos!U18+Datos!AM18))/(Datos!U18+Datos!AM18))," - ")</f>
        <v>0.49315068493150682</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5.5</v>
      </c>
      <c r="I18" s="395">
        <f>IF(ISNUMBER((Tasas!C18-Datos!BE18)/Datos!BE18),(Tasas!C18-Datos!BE18)/Datos!BE18," - ")</f>
        <v>-0.41399082568807333</v>
      </c>
      <c r="J18" s="394">
        <f>IF(ISNUMBER((Tasas!D18-Datos!BF18)/Datos!BF18),(Tasas!D18-Datos!BF18)/Datos!BF18," - ")</f>
        <v>3.3532110091743124</v>
      </c>
      <c r="K18" s="396">
        <f>IF(ISNUMBER((Tasas!E18-Datos!BG18)/Datos!BG18),(Tasas!E18-Datos!BG18)/Datos!BG18," - ")</f>
        <v>-0.14654542502232681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-0.26394849785407726</v>
      </c>
      <c r="E23" s="399">
        <f>IF(ISNUMBER(
   IF(D_I="SI",(Datos!J23-Datos!T23)/Datos!T23,(Datos!J23+Datos!AD23-(Datos!T23+Datos!AL23))/(Datos!T23+Datos!AL23))
     ),IF(D_I="SI",(Datos!J23-Datos!T23)/Datos!T23,(Datos!J23+Datos!AD23-(Datos!T23+Datos!AL23))/(Datos!T23+Datos!AL23))," - ")</f>
        <v>5.9665871121718375E-3</v>
      </c>
      <c r="F23" s="399">
        <f>IF(ISNUMBER(
   IF(D_I="SI",(Datos!K23-Datos!U23)/Datos!U23,(Datos!K23+Datos!AE23-(Datos!U23+Datos!AM23))/(Datos!U23+Datos!AM23))
     ),IF(D_I="SI",(Datos!K23-Datos!U23)/Datos!U23,(Datos!K23+Datos!AE23-(Datos!U23+Datos!AM23))/(Datos!U23+Datos!AM23))," - ")</f>
        <v>-4.7188755020080318E-2</v>
      </c>
      <c r="G23" s="400">
        <f>IF(ISNUMBER(
   IF(D_I="SI",(Datos!L23-Datos!V23)/Datos!V23,(Datos!L23+Datos!AF23-(Datos!V23+Datos!AN23))/(Datos!V23+Datos!AN23))
     ),IF(D_I="SI",(Datos!L23-Datos!V23)/Datos!V23,(Datos!L23+Datos!AF23-(Datos!V23+Datos!AN23))/(Datos!V23+Datos!AN23))," - ")</f>
        <v>-0.11078717201166181</v>
      </c>
      <c r="H23" s="401">
        <f>IF(ISNUMBER((Datos!M23-Datos!W23)/Datos!W23),(Datos!M23-Datos!W23)/Datos!W23," - ")</f>
        <v>0.11180124223602485</v>
      </c>
      <c r="I23" s="402">
        <f>IF(ISNUMBER((Tasas!C23-Datos!BE23)/Datos!BE23),(Tasas!C23-Datos!BE23)/Datos!BE23," - ")</f>
        <v>-6.674818053067981E-2</v>
      </c>
      <c r="J23" s="400">
        <f>IF(ISNUMBER((Tasas!D23-Datos!BF23)/Datos!BF23),(Tasas!D23-Datos!BF23)/Datos!BF23," - ")</f>
        <v>0.16686410670925256</v>
      </c>
      <c r="K23" s="403">
        <f>IF(ISNUMBER((Tasas!E23-Datos!BG23)/Datos!BG23),(Tasas!E23-Datos!BG23)/Datos!BG23," - ")</f>
        <v>-4.5446611544602979E-2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-0.24343891402714932</v>
      </c>
      <c r="E31" s="409">
        <f>IF(ISNUMBER(
   IF(J_V="SI",(Datos!J31-Datos!T31)/Datos!T31,(Datos!J31+Datos!Z31-(Datos!T31+Datos!AH31))/(Datos!T31+Datos!AH31))
     ),IF(J_V="SI",(Datos!J31-Datos!T31)/Datos!T31,(Datos!J31+Datos!Z31-(Datos!T31+Datos!AH31))/(Datos!T31+Datos!AH31))," - ")</f>
        <v>3.7015276145710929E-2</v>
      </c>
      <c r="F31" s="409">
        <f>IF(ISNUMBER(
   IF(J_V="SI",(Datos!K31-Datos!U31)/Datos!U31,(Datos!K31+Datos!AA31-(Datos!U31+Datos!AI31))/(Datos!U31+Datos!AI31))
     ),IF(J_V="SI",(Datos!K31-Datos!U31)/Datos!U31,(Datos!K31+Datos!AA31-(Datos!U31+Datos!AI31))/(Datos!U31+Datos!AI31))," - ")</f>
        <v>-1.2684989429175475E-2</v>
      </c>
      <c r="G31" s="410">
        <f>IF(ISNUMBER(
   IF(J_V="SI",(Datos!L31-Datos!V31)/Datos!V31,(Datos!L31+Datos!AB31-(Datos!V31+Datos!AJ31))/(Datos!V31+Datos!AJ31))
     ),IF(J_V="SI",(Datos!L31-Datos!V31)/Datos!V31,(Datos!L31+Datos!AB31-(Datos!V31+Datos!AJ31))/(Datos!V31+Datos!AJ31))," - ")</f>
        <v>-5.7416267942583733E-2</v>
      </c>
      <c r="H31" s="411">
        <f>IF(ISNUMBER((Datos!M31-Datos!W31)/Datos!W31),(Datos!M31-Datos!W31)/Datos!W31," - ")</f>
        <v>5.5155875299760189E-2</v>
      </c>
      <c r="I31" s="408">
        <f>IF(ISNUMBER((Tasas!C31-Datos!BE31)/Datos!BE31),(Tasas!C31-Datos!BE31)/Datos!BE31," - ")</f>
        <v>-4.5305984447199341E-2</v>
      </c>
      <c r="J31" s="409">
        <f>IF(ISNUMBER((Tasas!D31-Datos!BF31)/Datos!BF31),(Tasas!D31-Datos!BF31)/Datos!BF31," - ")</f>
        <v>2.6850472177542762E-2</v>
      </c>
      <c r="K31" s="410">
        <f>IF(ISNUMBER((Tasas!E31-Datos!BG31)/Datos!BG31),(Tasas!E31-Datos!BG31)/Datos!BG31," - ")</f>
        <v>-6.1482878914674244E-2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0.25339776008418446</v>
      </c>
      <c r="E33" s="303">
        <f t="shared" si="1"/>
        <v>0.20746356506594224</v>
      </c>
      <c r="F33" s="303">
        <f t="shared" si="1"/>
        <v>0.60227273616549659</v>
      </c>
      <c r="G33" s="304">
        <f t="shared" si="1"/>
        <v>0.14273119068567955</v>
      </c>
      <c r="H33" s="310">
        <f t="shared" si="1"/>
        <v>2.3877920836201785</v>
      </c>
      <c r="I33" s="302">
        <f t="shared" si="1"/>
        <v>0.29088390452751989</v>
      </c>
      <c r="J33" s="303">
        <f t="shared" si="1"/>
        <v>1.3369562934098713</v>
      </c>
      <c r="K33" s="304">
        <f t="shared" si="1"/>
        <v>0.16436847025635018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5hqStIDCqa5gJnjU6ckxrTe2LP62U76knOizCorAtZcJPH0jbHzxozSNjUQ/QS9gqqF6zGFqOMxOCNV5WrxPA==" saltValue="GEOl185243qRZNeSYIyr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